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Смета" sheetId="1" r:id="rId1"/>
    <sheet name="Лист1" sheetId="7" r:id="rId2"/>
  </sheets>
  <definedNames>
    <definedName name="_xlnm.Print_Area" localSheetId="0">Смета!$A$1:$U$85</definedName>
  </definedNames>
  <calcPr calcId="125725" refMode="R1C1"/>
</workbook>
</file>

<file path=xl/calcChain.xml><?xml version="1.0" encoding="utf-8"?>
<calcChain xmlns="http://schemas.openxmlformats.org/spreadsheetml/2006/main">
  <c r="O52" i="1"/>
  <c r="H24" l="1"/>
  <c r="O50"/>
  <c r="I69"/>
  <c r="R8" l="1"/>
  <c r="Q8"/>
  <c r="P8"/>
  <c r="O8"/>
  <c r="N8"/>
  <c r="M8"/>
  <c r="L8"/>
  <c r="K8"/>
  <c r="J8"/>
  <c r="H8"/>
  <c r="G8"/>
  <c r="Q45"/>
  <c r="O45"/>
  <c r="Q50"/>
  <c r="N46"/>
  <c r="N45"/>
  <c r="I30"/>
  <c r="S7"/>
  <c r="R7"/>
  <c r="Q7"/>
  <c r="P7"/>
  <c r="O7"/>
  <c r="N7"/>
  <c r="M7"/>
  <c r="L7"/>
  <c r="K7"/>
  <c r="J7"/>
  <c r="I7"/>
  <c r="H7"/>
  <c r="G7"/>
  <c r="R5"/>
  <c r="Q5"/>
  <c r="P5"/>
  <c r="O5"/>
  <c r="N5"/>
  <c r="M5"/>
  <c r="L5"/>
  <c r="K5"/>
  <c r="J5"/>
  <c r="I5"/>
  <c r="H5"/>
  <c r="G5"/>
  <c r="P24" l="1"/>
  <c r="N53"/>
  <c r="R30"/>
  <c r="R46"/>
  <c r="P46"/>
  <c r="R38"/>
  <c r="R61"/>
  <c r="R39"/>
  <c r="R10"/>
  <c r="R50"/>
  <c r="M66"/>
  <c r="L66"/>
  <c r="G50"/>
  <c r="H50"/>
  <c r="I50"/>
  <c r="J50"/>
  <c r="K50"/>
  <c r="L50"/>
  <c r="M50"/>
  <c r="M45"/>
  <c r="M42"/>
  <c r="M24"/>
  <c r="N50"/>
  <c r="N26"/>
  <c r="O24"/>
  <c r="P50"/>
  <c r="P45"/>
  <c r="Q46"/>
  <c r="Q24"/>
  <c r="L11"/>
  <c r="N17"/>
  <c r="O46"/>
  <c r="Q10"/>
  <c r="Q38"/>
  <c r="Q6"/>
  <c r="O54"/>
  <c r="P17"/>
  <c r="O61"/>
  <c r="P61"/>
  <c r="O74" l="1"/>
  <c r="N75"/>
  <c r="M38"/>
  <c r="L31"/>
  <c r="L71"/>
  <c r="L56"/>
  <c r="L10"/>
  <c r="K38"/>
  <c r="K17"/>
  <c r="K66"/>
  <c r="L78"/>
  <c r="H72"/>
  <c r="I71"/>
  <c r="J10"/>
  <c r="I8"/>
  <c r="I10"/>
  <c r="I38"/>
  <c r="I18"/>
  <c r="H42"/>
  <c r="H46"/>
  <c r="H22"/>
  <c r="G17"/>
  <c r="T73" l="1"/>
  <c r="U73" s="1"/>
  <c r="T74"/>
  <c r="U74" s="1"/>
  <c r="T75"/>
  <c r="U75" s="1"/>
  <c r="T76"/>
  <c r="U76" s="1"/>
  <c r="T77"/>
  <c r="U77" s="1"/>
  <c r="T72"/>
  <c r="U72" s="1"/>
  <c r="T71"/>
  <c r="U71" s="1"/>
  <c r="T67"/>
  <c r="U67" s="1"/>
  <c r="I70"/>
  <c r="J70"/>
  <c r="K70"/>
  <c r="L70"/>
  <c r="M70"/>
  <c r="N70"/>
  <c r="O70"/>
  <c r="P70"/>
  <c r="Q70"/>
  <c r="R70"/>
  <c r="S70"/>
  <c r="H70"/>
  <c r="G70"/>
  <c r="F70"/>
  <c r="F7"/>
  <c r="C67" l="1"/>
  <c r="D67"/>
  <c r="E12"/>
  <c r="D76"/>
  <c r="C76" s="1"/>
  <c r="E70"/>
  <c r="D77"/>
  <c r="C77" s="1"/>
  <c r="D74"/>
  <c r="C74" s="1"/>
  <c r="D75"/>
  <c r="C75" s="1"/>
  <c r="D73"/>
  <c r="C73" s="1"/>
  <c r="D72"/>
  <c r="C72" s="1"/>
  <c r="D71"/>
  <c r="C71" s="1"/>
  <c r="T41" l="1"/>
  <c r="U41" s="1"/>
  <c r="T42"/>
  <c r="U42" s="1"/>
  <c r="T68"/>
  <c r="U68" s="1"/>
  <c r="D68"/>
  <c r="C68" s="1"/>
  <c r="E52"/>
  <c r="E44" l="1"/>
  <c r="E28"/>
  <c r="D42"/>
  <c r="C42" s="1"/>
  <c r="D41"/>
  <c r="C41" s="1"/>
  <c r="T70"/>
  <c r="T22"/>
  <c r="F19"/>
  <c r="T79"/>
  <c r="D29" l="1"/>
  <c r="T20" l="1"/>
  <c r="U20" s="1"/>
  <c r="T21"/>
  <c r="U21" s="1"/>
  <c r="R52"/>
  <c r="P44"/>
  <c r="O19"/>
  <c r="O16" s="1"/>
  <c r="P19"/>
  <c r="P16" s="1"/>
  <c r="N19"/>
  <c r="N16" s="1"/>
  <c r="M19"/>
  <c r="M16" s="1"/>
  <c r="M52"/>
  <c r="D7"/>
  <c r="C7" s="1"/>
  <c r="P28"/>
  <c r="O9"/>
  <c r="T62"/>
  <c r="U62" s="1"/>
  <c r="T49"/>
  <c r="U49" s="1"/>
  <c r="L44"/>
  <c r="T18"/>
  <c r="U18" s="1"/>
  <c r="K44"/>
  <c r="I19"/>
  <c r="I9"/>
  <c r="I28"/>
  <c r="H28"/>
  <c r="G9"/>
  <c r="D77" i="7"/>
  <c r="C77" s="1"/>
  <c r="D76"/>
  <c r="C76" s="1"/>
  <c r="D75"/>
  <c r="C75" s="1"/>
  <c r="D74"/>
  <c r="C74"/>
  <c r="D73"/>
  <c r="C73" s="1"/>
  <c r="D72"/>
  <c r="C72"/>
  <c r="D71"/>
  <c r="C71" s="1"/>
  <c r="D70"/>
  <c r="C70"/>
  <c r="D69"/>
  <c r="C69" s="1"/>
  <c r="D68"/>
  <c r="C68"/>
  <c r="D67"/>
  <c r="C67" s="1"/>
  <c r="D66"/>
  <c r="C66"/>
  <c r="D65"/>
  <c r="C65" s="1"/>
  <c r="D64"/>
  <c r="C64"/>
  <c r="D63"/>
  <c r="C63" s="1"/>
  <c r="D62"/>
  <c r="C62"/>
  <c r="D61"/>
  <c r="C61" s="1"/>
  <c r="D60"/>
  <c r="C60"/>
  <c r="D59"/>
  <c r="C59" s="1"/>
  <c r="D58"/>
  <c r="C58"/>
  <c r="D57"/>
  <c r="C57" s="1"/>
  <c r="D56"/>
  <c r="C56"/>
  <c r="E55"/>
  <c r="D55" s="1"/>
  <c r="C55" s="1"/>
  <c r="D54"/>
  <c r="C54" s="1"/>
  <c r="D53"/>
  <c r="C53"/>
  <c r="D52"/>
  <c r="C52" s="1"/>
  <c r="D51"/>
  <c r="C51"/>
  <c r="D50"/>
  <c r="C50" s="1"/>
  <c r="D49"/>
  <c r="C49"/>
  <c r="D48"/>
  <c r="C48" s="1"/>
  <c r="D47"/>
  <c r="C47"/>
  <c r="E46"/>
  <c r="D46" s="1"/>
  <c r="C46" s="1"/>
  <c r="D45"/>
  <c r="C45" s="1"/>
  <c r="D44"/>
  <c r="C44" s="1"/>
  <c r="D43"/>
  <c r="C43" s="1"/>
  <c r="D42"/>
  <c r="C42" s="1"/>
  <c r="D41"/>
  <c r="C41" s="1"/>
  <c r="D40"/>
  <c r="C40" s="1"/>
  <c r="D39"/>
  <c r="D38"/>
  <c r="D37"/>
  <c r="C37"/>
  <c r="D36"/>
  <c r="C36" s="1"/>
  <c r="D35"/>
  <c r="C35"/>
  <c r="D34"/>
  <c r="C34" s="1"/>
  <c r="D33"/>
  <c r="C33"/>
  <c r="E32"/>
  <c r="D32" s="1"/>
  <c r="C32" s="1"/>
  <c r="D31"/>
  <c r="C31" s="1"/>
  <c r="D30"/>
  <c r="C30" s="1"/>
  <c r="D29"/>
  <c r="C29" s="1"/>
  <c r="D28"/>
  <c r="C28"/>
  <c r="D27"/>
  <c r="C27" s="1"/>
  <c r="E26"/>
  <c r="D26"/>
  <c r="C26" s="1"/>
  <c r="D25"/>
  <c r="D24"/>
  <c r="D23"/>
  <c r="E22"/>
  <c r="D22" s="1"/>
  <c r="C22" s="1"/>
  <c r="D21"/>
  <c r="C21" s="1"/>
  <c r="D20"/>
  <c r="C20" s="1"/>
  <c r="D18"/>
  <c r="C18" s="1"/>
  <c r="D17"/>
  <c r="D16"/>
  <c r="E15"/>
  <c r="D15" s="1"/>
  <c r="C15" s="1"/>
  <c r="D14"/>
  <c r="C14"/>
  <c r="D12"/>
  <c r="C12" s="1"/>
  <c r="D11"/>
  <c r="C11"/>
  <c r="E10"/>
  <c r="D10" s="1"/>
  <c r="C10" s="1"/>
  <c r="D9"/>
  <c r="C9" s="1"/>
  <c r="D8"/>
  <c r="C8" s="1"/>
  <c r="D7"/>
  <c r="C7" s="1"/>
  <c r="D6"/>
  <c r="C6" s="1"/>
  <c r="F44" i="1"/>
  <c r="F28"/>
  <c r="F9"/>
  <c r="T66"/>
  <c r="U66" s="1"/>
  <c r="T78"/>
  <c r="U78" s="1"/>
  <c r="D78"/>
  <c r="C78" s="1"/>
  <c r="D66"/>
  <c r="C66" s="1"/>
  <c r="D6"/>
  <c r="C6" s="1"/>
  <c r="S19"/>
  <c r="S16" s="1"/>
  <c r="D14"/>
  <c r="C14" s="1"/>
  <c r="T51"/>
  <c r="U51" s="1"/>
  <c r="T29"/>
  <c r="U29" s="1"/>
  <c r="D51"/>
  <c r="C51" s="1"/>
  <c r="T34"/>
  <c r="U34" s="1"/>
  <c r="T35"/>
  <c r="U35" s="1"/>
  <c r="D35"/>
  <c r="C35" s="1"/>
  <c r="D34"/>
  <c r="C34" s="1"/>
  <c r="T24"/>
  <c r="U24" s="1"/>
  <c r="T25"/>
  <c r="U25" s="1"/>
  <c r="T26"/>
  <c r="U26" s="1"/>
  <c r="T27"/>
  <c r="U27" s="1"/>
  <c r="T31"/>
  <c r="U31" s="1"/>
  <c r="T33"/>
  <c r="U33" s="1"/>
  <c r="T36"/>
  <c r="U36" s="1"/>
  <c r="T37"/>
  <c r="U37" s="1"/>
  <c r="T38"/>
  <c r="U38" s="1"/>
  <c r="T43"/>
  <c r="U43" s="1"/>
  <c r="T47"/>
  <c r="U47" s="1"/>
  <c r="T48"/>
  <c r="U48" s="1"/>
  <c r="T55"/>
  <c r="U55" s="1"/>
  <c r="T57"/>
  <c r="U57" s="1"/>
  <c r="T58"/>
  <c r="U58" s="1"/>
  <c r="T59"/>
  <c r="U59" s="1"/>
  <c r="T60"/>
  <c r="U60" s="1"/>
  <c r="T61"/>
  <c r="U61" s="1"/>
  <c r="T63"/>
  <c r="U63" s="1"/>
  <c r="T65"/>
  <c r="U65" s="1"/>
  <c r="T15"/>
  <c r="U15" s="1"/>
  <c r="R9"/>
  <c r="R23"/>
  <c r="Q28"/>
  <c r="Q9"/>
  <c r="Q44"/>
  <c r="L19"/>
  <c r="L16" s="1"/>
  <c r="M44"/>
  <c r="L28"/>
  <c r="T40"/>
  <c r="U40" s="1"/>
  <c r="O23"/>
  <c r="P52"/>
  <c r="Q23"/>
  <c r="Q52"/>
  <c r="R28"/>
  <c r="O28"/>
  <c r="T53"/>
  <c r="U53" s="1"/>
  <c r="T64"/>
  <c r="U64" s="1"/>
  <c r="H44"/>
  <c r="J28"/>
  <c r="I44"/>
  <c r="H9"/>
  <c r="T13"/>
  <c r="U13" s="1"/>
  <c r="S44"/>
  <c r="G44"/>
  <c r="S9"/>
  <c r="J12"/>
  <c r="K12"/>
  <c r="L12"/>
  <c r="M12"/>
  <c r="N12"/>
  <c r="O12"/>
  <c r="P12"/>
  <c r="Q12"/>
  <c r="R12"/>
  <c r="S12"/>
  <c r="G12"/>
  <c r="J19"/>
  <c r="K19"/>
  <c r="Q19"/>
  <c r="Q16" s="1"/>
  <c r="R19"/>
  <c r="R16" s="1"/>
  <c r="G19"/>
  <c r="J23"/>
  <c r="K23"/>
  <c r="M23"/>
  <c r="P23"/>
  <c r="S23"/>
  <c r="G23"/>
  <c r="S28"/>
  <c r="G28"/>
  <c r="D28"/>
  <c r="C28" s="1"/>
  <c r="D52"/>
  <c r="C52" s="1"/>
  <c r="S52"/>
  <c r="I52"/>
  <c r="H52"/>
  <c r="G52"/>
  <c r="F52"/>
  <c r="I23"/>
  <c r="D50"/>
  <c r="C50" s="1"/>
  <c r="H12"/>
  <c r="F12"/>
  <c r="F23"/>
  <c r="D64"/>
  <c r="C64" s="1"/>
  <c r="E9"/>
  <c r="E19"/>
  <c r="D19" s="1"/>
  <c r="C19" s="1"/>
  <c r="E23"/>
  <c r="D40"/>
  <c r="C40" s="1"/>
  <c r="D70"/>
  <c r="C70" s="1"/>
  <c r="D18"/>
  <c r="C18" s="1"/>
  <c r="D49"/>
  <c r="C49" s="1"/>
  <c r="D48"/>
  <c r="C48" s="1"/>
  <c r="D65"/>
  <c r="C65" s="1"/>
  <c r="D63"/>
  <c r="C63" s="1"/>
  <c r="D39"/>
  <c r="C39" s="1"/>
  <c r="D79"/>
  <c r="C79" s="1"/>
  <c r="D69"/>
  <c r="C69" s="1"/>
  <c r="D22"/>
  <c r="C22" s="1"/>
  <c r="D21"/>
  <c r="C21" s="1"/>
  <c r="D62"/>
  <c r="C62" s="1"/>
  <c r="D61"/>
  <c r="C61" s="1"/>
  <c r="D60"/>
  <c r="C60" s="1"/>
  <c r="D59"/>
  <c r="C59" s="1"/>
  <c r="D58"/>
  <c r="C58" s="1"/>
  <c r="D57"/>
  <c r="C57" s="1"/>
  <c r="D56"/>
  <c r="C56" s="1"/>
  <c r="D55"/>
  <c r="C55" s="1"/>
  <c r="D54"/>
  <c r="C54" s="1"/>
  <c r="D53"/>
  <c r="C53" s="1"/>
  <c r="D47"/>
  <c r="C47" s="1"/>
  <c r="D45"/>
  <c r="C45" s="1"/>
  <c r="D43"/>
  <c r="C43" s="1"/>
  <c r="D38"/>
  <c r="C38" s="1"/>
  <c r="D37"/>
  <c r="C37" s="1"/>
  <c r="D36"/>
  <c r="C36" s="1"/>
  <c r="D33"/>
  <c r="C33" s="1"/>
  <c r="D32"/>
  <c r="C32" s="1"/>
  <c r="D31"/>
  <c r="C31" s="1"/>
  <c r="D30"/>
  <c r="C30" s="1"/>
  <c r="C29"/>
  <c r="D27"/>
  <c r="C27" s="1"/>
  <c r="D26"/>
  <c r="C26" s="1"/>
  <c r="D25"/>
  <c r="C25" s="1"/>
  <c r="D24"/>
  <c r="C24" s="1"/>
  <c r="D5"/>
  <c r="C5" s="1"/>
  <c r="D8"/>
  <c r="C8" s="1"/>
  <c r="D15"/>
  <c r="C15" s="1"/>
  <c r="D17"/>
  <c r="C17" s="1"/>
  <c r="D13"/>
  <c r="C13" s="1"/>
  <c r="D11"/>
  <c r="C11" s="1"/>
  <c r="D10"/>
  <c r="C10" s="1"/>
  <c r="D20"/>
  <c r="C20" s="1"/>
  <c r="D46"/>
  <c r="C46" s="1"/>
  <c r="N23"/>
  <c r="J52"/>
  <c r="L23"/>
  <c r="M9"/>
  <c r="H23"/>
  <c r="M28"/>
  <c r="R44"/>
  <c r="N28"/>
  <c r="T30"/>
  <c r="U30" s="1"/>
  <c r="K52"/>
  <c r="T45"/>
  <c r="U45" s="1"/>
  <c r="E13" i="7"/>
  <c r="D13" s="1"/>
  <c r="C13" s="1"/>
  <c r="T54" i="1"/>
  <c r="U54" s="1"/>
  <c r="G16" l="1"/>
  <c r="G80" s="1"/>
  <c r="E19" i="7"/>
  <c r="D19" s="1"/>
  <c r="C19" s="1"/>
  <c r="D12" i="1"/>
  <c r="C12" s="1"/>
  <c r="M80"/>
  <c r="S80"/>
  <c r="Q80"/>
  <c r="R80"/>
  <c r="T23"/>
  <c r="U23" s="1"/>
  <c r="U70"/>
  <c r="T50"/>
  <c r="U50" s="1"/>
  <c r="P9"/>
  <c r="P80" s="1"/>
  <c r="N52"/>
  <c r="T46"/>
  <c r="U46" s="1"/>
  <c r="K16"/>
  <c r="T14"/>
  <c r="U14" s="1"/>
  <c r="T32"/>
  <c r="U32" s="1"/>
  <c r="U22"/>
  <c r="T17"/>
  <c r="U17" s="1"/>
  <c r="J44"/>
  <c r="N44"/>
  <c r="N9"/>
  <c r="T6"/>
  <c r="U6" s="1"/>
  <c r="O44"/>
  <c r="O80" s="1"/>
  <c r="I16"/>
  <c r="T5"/>
  <c r="U5" s="1"/>
  <c r="T11"/>
  <c r="U11" s="1"/>
  <c r="I12"/>
  <c r="T12" s="1"/>
  <c r="U12" s="1"/>
  <c r="E16"/>
  <c r="D16" s="1"/>
  <c r="C16" s="1"/>
  <c r="H19"/>
  <c r="H16" s="1"/>
  <c r="H80" s="1"/>
  <c r="J16"/>
  <c r="T56"/>
  <c r="U56" s="1"/>
  <c r="T8"/>
  <c r="U8" s="1"/>
  <c r="J9"/>
  <c r="T39"/>
  <c r="U39" s="1"/>
  <c r="T69"/>
  <c r="U69" s="1"/>
  <c r="K9"/>
  <c r="L9"/>
  <c r="T7"/>
  <c r="U7" s="1"/>
  <c r="D23"/>
  <c r="C23" s="1"/>
  <c r="F16"/>
  <c r="F80" s="1"/>
  <c r="L52"/>
  <c r="T10"/>
  <c r="U10" s="1"/>
  <c r="K28"/>
  <c r="D44"/>
  <c r="C44" s="1"/>
  <c r="D9"/>
  <c r="C9" s="1"/>
  <c r="I80" l="1"/>
  <c r="T19"/>
  <c r="U19" s="1"/>
  <c r="J80"/>
  <c r="E78" i="7"/>
  <c r="D78" s="1"/>
  <c r="E80" i="1"/>
  <c r="D80" s="1"/>
  <c r="D85" s="1"/>
  <c r="L80"/>
  <c r="K80"/>
  <c r="N80"/>
  <c r="T44"/>
  <c r="U44" s="1"/>
  <c r="T16"/>
  <c r="U16" s="1"/>
  <c r="T9"/>
  <c r="U9" s="1"/>
  <c r="T28"/>
  <c r="T52"/>
  <c r="U52" s="1"/>
  <c r="D83" i="7" l="1"/>
  <c r="C78"/>
  <c r="T83" i="1"/>
  <c r="U28"/>
  <c r="U80" s="1"/>
  <c r="T80"/>
  <c r="U83" s="1"/>
  <c r="C80"/>
  <c r="C39" i="7" l="1"/>
  <c r="C38"/>
</calcChain>
</file>

<file path=xl/comments1.xml><?xml version="1.0" encoding="utf-8"?>
<comments xmlns="http://schemas.openxmlformats.org/spreadsheetml/2006/main">
  <authors>
    <author>Владелец</author>
    <author>Максим</author>
  </authors>
  <commentLis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Авиабилеты на форум жкх
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Участие в форуме ЖКХ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Подписка на журнал управление мкд год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Гис ЖКХ
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Ключ эл.подписи
</t>
        </r>
      </text>
    </comment>
    <comment ref="P24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Коврики в подъезды
</t>
        </r>
      </text>
    </comment>
    <comment ref="R30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Доработка квитанции
</t>
        </r>
      </text>
    </comment>
    <comment ref="R32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Ремонт приводов клапанов ГВС</t>
        </r>
      </text>
    </comment>
    <comment ref="H46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Кобры над подъездами</t>
        </r>
      </text>
    </comment>
    <comment ref="R49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10 секций и 300 замков</t>
        </r>
      </text>
    </comment>
    <comment ref="N64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Щебень
</t>
        </r>
      </text>
    </comment>
    <comment ref="I6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Аренда автовышки
</t>
        </r>
      </text>
    </comment>
    <comment ref="F69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доплата за установку новых дверных блоков во входных тамбурах</t>
        </r>
      </text>
    </comment>
    <comment ref="I69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Таблички на площадку
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Доводчики взамен украденных 3 шт.
</t>
        </r>
      </text>
    </commen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Антимагнитные пломбы
</t>
        </r>
      </text>
    </comment>
    <comment ref="I71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01-03 2016
</t>
        </r>
      </text>
    </comment>
    <comment ref="P71" authorId="0">
      <text>
        <r>
          <rPr>
            <b/>
            <sz val="9"/>
            <color indexed="81"/>
            <rFont val="Tahoma"/>
            <family val="2"/>
            <charset val="204"/>
          </rPr>
          <t>Владелец: 4 кв 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2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декабрь, 
январь-март
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04-10 2016
</t>
        </r>
      </text>
    </comment>
    <comment ref="K72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11-12
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12 2015
</t>
        </r>
      </text>
    </comment>
    <comment ref="O73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01-06.16</t>
        </r>
      </text>
    </comment>
    <comment ref="H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01 2016
</t>
        </r>
      </text>
    </comment>
    <comment ref="I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02 2016
</t>
        </r>
      </text>
    </comment>
    <comment ref="J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03 2016
</t>
        </r>
      </text>
    </comment>
    <comment ref="K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04 2016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05 2016</t>
        </r>
      </text>
    </comment>
    <comment ref="N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06,07
</t>
        </r>
      </text>
    </comment>
    <comment ref="P75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08,09
</t>
        </r>
      </text>
    </comment>
    <comment ref="S75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10-12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ООО КАДР трубы 33685
</t>
        </r>
      </text>
    </comment>
  </commentList>
</comments>
</file>

<file path=xl/sharedStrings.xml><?xml version="1.0" encoding="utf-8"?>
<sst xmlns="http://schemas.openxmlformats.org/spreadsheetml/2006/main" count="319" uniqueCount="219">
  <si>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</si>
  <si>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</si>
  <si>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</si>
  <si>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</si>
  <si>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</si>
  <si>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</si>
  <si>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</si>
  <si>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</si>
  <si>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</si>
  <si>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</si>
  <si>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</si>
  <si>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</si>
  <si>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</si>
  <si>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</si>
  <si>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</si>
  <si>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</si>
  <si>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</si>
  <si>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</si>
  <si>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</si>
  <si>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</si>
  <si>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</si>
  <si>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</si>
  <si>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</si>
  <si>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</si>
  <si>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</si>
  <si>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</si>
  <si>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</si>
  <si>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</si>
  <si>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</si>
  <si>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</si>
  <si>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</si>
  <si>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</si>
  <si>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</si>
  <si>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</si>
  <si>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</si>
  <si>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</si>
  <si>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</si>
  <si>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</si>
  <si>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</si>
  <si>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</si>
  <si>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</si>
  <si>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</si>
  <si>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</si>
  <si>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</si>
  <si>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</si>
  <si>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</si>
  <si>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</si>
  <si>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</si>
  <si>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</si>
  <si>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</si>
  <si>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</si>
  <si>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</si>
  <si>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</si>
  <si>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</si>
  <si>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</si>
  <si>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</si>
  <si>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</si>
  <si>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</si>
  <si>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</si>
  <si>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</si>
  <si>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</si>
  <si>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</si>
  <si>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</si>
  <si>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</si>
  <si>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</si>
  <si>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</si>
  <si>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</si>
  <si>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</si>
  <si>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</si>
  <si>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</si>
  <si>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</si>
  <si>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</si>
  <si>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</si>
  <si>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</si>
  <si>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</si>
  <si>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</si>
  <si>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</si>
  <si>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</si>
  <si>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</si>
  <si>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</si>
  <si>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</si>
  <si>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</si>
  <si>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</si>
  <si>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</si>
  <si>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</si>
  <si>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</si>
  <si>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</si>
  <si>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</si>
  <si>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</si>
  <si>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</si>
  <si>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</si>
  <si>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</si>
  <si>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</si>
  <si>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</si>
  <si>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</si>
  <si>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</si>
  <si>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</si>
  <si>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</si>
  <si>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</si>
  <si>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</si>
  <si>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</si>
  <si>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</si>
  <si>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</si>
  <si>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</si>
  <si>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</si>
  <si>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</si>
  <si>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</si>
  <si>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</si>
  <si>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</si>
  <si>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</si>
  <si>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</si>
  <si>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</si>
  <si>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</si>
  <si>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</si>
  <si>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</si>
  <si>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</si>
  <si>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</si>
  <si>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</si>
  <si>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</si>
  <si>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</si>
  <si>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</si>
  <si>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</si>
  <si>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</si>
  <si>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</si>
  <si>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</si>
  <si>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</si>
  <si>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</si>
  <si>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</si>
  <si>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</si>
  <si>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</si>
  <si>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</si>
  <si>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</si>
  <si>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</si>
  <si>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</si>
  <si>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</si>
  <si>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</si>
  <si>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</si>
  <si>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</si>
  <si>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</si>
  <si>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</si>
  <si>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</si>
  <si>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</si>
  <si>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</si>
  <si>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</si>
  <si>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</si>
  <si>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</si>
  <si>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</si>
  <si>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</si>
  <si>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</si>
  <si>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</si>
  <si>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</si>
  <si>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</si>
  <si>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</si>
  <si>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</si>
  <si>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</si>
  <si>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</si>
  <si>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</si>
  <si>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</si>
  <si>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</si>
  <si>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</si>
  <si>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</si>
  <si>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</si>
  <si>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</si>
  <si>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обслуживание узла учета тепловой энергии и воды, поверка, ремонт</t>
  </si>
  <si>
    <t>сантехническое оборудование</t>
  </si>
  <si>
    <t>в январе 2016 за декабрь 2015г.</t>
  </si>
  <si>
    <t>10.14</t>
  </si>
  <si>
    <t>10.15</t>
  </si>
  <si>
    <t>сантехнические работы</t>
  </si>
  <si>
    <t>электромонтажные работы</t>
  </si>
  <si>
    <t>1С обновления (подписка)</t>
  </si>
  <si>
    <t>техническому содержанию и ремонту общего имущества многоквартирного дома на 2016 год</t>
  </si>
  <si>
    <t>На основании сметы расходов на 2016 г. Правление ТСЖ предлагает утвердить</t>
  </si>
  <si>
    <t>тариф на содержание и ремонт общего имущества МКД за 1 кв.м общей площади в месяц:</t>
  </si>
  <si>
    <t>Сумма расходов по месяцам 2016 года, руб.</t>
  </si>
  <si>
    <t>в январе 2017 за декабрь 2016г.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</si>
  <si>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</si>
  <si>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</si>
  <si>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</si>
  <si>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</si>
  <si>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</si>
  <si>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</si>
  <si>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"ТТК" размещение телекоммуникационного оборудования в подъездах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</si>
  <si>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</si>
  <si>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</si>
  <si>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</si>
  <si>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</si>
  <si>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</si>
  <si>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</si>
  <si>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</si>
  <si>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</si>
  <si>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слесарь-сантехник (перчатки, СМС и т.д.)</t>
  </si>
  <si>
    <t>установка новых металлопластиковых окон в первых пяти подъездах</t>
  </si>
  <si>
    <t>утепление дверей - выходов на кровлю</t>
  </si>
  <si>
    <t>Остаток средств по статье "Содержание и ремонт жилья" за 2015 год</t>
  </si>
  <si>
    <t>инструментальное наблюдение за осадкой дома</t>
  </si>
  <si>
    <r>
      <t xml:space="preserve">установка и обслуживание системы дворового и офисного </t>
    </r>
    <r>
      <rPr>
        <b/>
        <i/>
        <sz val="9"/>
        <rFont val="Arial Cyr"/>
        <charset val="204"/>
      </rPr>
      <t>видеонаблюдения</t>
    </r>
  </si>
  <si>
    <r>
      <t xml:space="preserve">текущий ремонт в подъездах, </t>
    </r>
    <r>
      <rPr>
        <b/>
        <i/>
        <sz val="9"/>
        <rFont val="Arial Cyr"/>
        <charset val="204"/>
      </rPr>
      <t>откосы</t>
    </r>
    <r>
      <rPr>
        <i/>
        <sz val="9"/>
        <rFont val="Arial Cyr"/>
        <charset val="204"/>
      </rPr>
      <t xml:space="preserve"> на дверях и окнах</t>
    </r>
  </si>
  <si>
    <r>
      <t xml:space="preserve">обслуживание </t>
    </r>
    <r>
      <rPr>
        <b/>
        <i/>
        <sz val="9"/>
        <rFont val="Arial Cyr"/>
        <charset val="204"/>
      </rPr>
      <t>антенного</t>
    </r>
    <r>
      <rPr>
        <i/>
        <sz val="9"/>
        <rFont val="Arial Cyr"/>
        <charset val="204"/>
      </rPr>
      <t xml:space="preserve"> оборудования и телекоммуникаций</t>
    </r>
  </si>
  <si>
    <r>
      <t xml:space="preserve">обслуживание </t>
    </r>
    <r>
      <rPr>
        <b/>
        <i/>
        <sz val="9"/>
        <rFont val="Arial Cyr"/>
        <charset val="204"/>
      </rPr>
      <t>домофонов</t>
    </r>
    <r>
      <rPr>
        <i/>
        <sz val="9"/>
        <rFont val="Arial Cyr"/>
        <charset val="204"/>
      </rPr>
      <t xml:space="preserve"> и дверей подъездов</t>
    </r>
  </si>
  <si>
    <r>
      <t xml:space="preserve">обслуживание </t>
    </r>
    <r>
      <rPr>
        <b/>
        <i/>
        <sz val="9"/>
        <rFont val="Arial Cyr"/>
        <charset val="204"/>
      </rPr>
      <t>ПК</t>
    </r>
    <r>
      <rPr>
        <i/>
        <sz val="9"/>
        <rFont val="Arial Cyr"/>
        <charset val="204"/>
      </rPr>
      <t xml:space="preserve"> и програмного обеспечения</t>
    </r>
  </si>
  <si>
    <r>
      <t xml:space="preserve">обслуживание, поверка </t>
    </r>
    <r>
      <rPr>
        <b/>
        <i/>
        <sz val="9"/>
        <rFont val="Arial Cyr"/>
        <charset val="204"/>
      </rPr>
      <t>манометров</t>
    </r>
    <r>
      <rPr>
        <i/>
        <sz val="9"/>
        <rFont val="Arial Cyr"/>
        <charset val="204"/>
      </rPr>
      <t>, термометров</t>
    </r>
  </si>
  <si>
    <r>
      <t xml:space="preserve">обслуживание систем </t>
    </r>
    <r>
      <rPr>
        <b/>
        <i/>
        <sz val="9"/>
        <rFont val="Arial Cyr"/>
        <charset val="204"/>
      </rPr>
      <t>вентиллирования</t>
    </r>
  </si>
  <si>
    <r>
      <rPr>
        <b/>
        <i/>
        <sz val="9"/>
        <rFont val="Arial Cyr"/>
        <charset val="204"/>
      </rPr>
      <t>сварочные работы</t>
    </r>
    <r>
      <rPr>
        <i/>
        <sz val="9"/>
        <rFont val="Arial Cyr"/>
        <charset val="204"/>
      </rPr>
      <t xml:space="preserve"> трубопроводов, фланцев для задвижек, водонагревателей</t>
    </r>
  </si>
  <si>
    <r>
      <t xml:space="preserve">обслуживание общедомового </t>
    </r>
    <r>
      <rPr>
        <b/>
        <i/>
        <sz val="9"/>
        <rFont val="Arial Cyr"/>
        <charset val="204"/>
      </rPr>
      <t>газового</t>
    </r>
    <r>
      <rPr>
        <i/>
        <sz val="9"/>
        <rFont val="Arial Cyr"/>
        <charset val="204"/>
      </rPr>
      <t xml:space="preserve"> оборудования</t>
    </r>
  </si>
  <si>
    <r>
      <rPr>
        <b/>
        <i/>
        <sz val="9"/>
        <rFont val="Arial Cyr"/>
        <charset val="204"/>
      </rPr>
      <t>откачка нечистот</t>
    </r>
    <r>
      <rPr>
        <i/>
        <sz val="9"/>
        <rFont val="Arial Cyr"/>
        <charset val="204"/>
      </rPr>
      <t xml:space="preserve"> и чистка колодцев водоотведения</t>
    </r>
  </si>
  <si>
    <r>
      <rPr>
        <b/>
        <i/>
        <sz val="9"/>
        <rFont val="Arial Cyr"/>
        <charset val="204"/>
      </rPr>
      <t>дезинсекция</t>
    </r>
    <r>
      <rPr>
        <i/>
        <sz val="9"/>
        <rFont val="Arial Cyr"/>
        <charset val="204"/>
      </rPr>
      <t xml:space="preserve"> и дератизация подвальных помещений</t>
    </r>
  </si>
  <si>
    <r>
      <t xml:space="preserve">заделка </t>
    </r>
    <r>
      <rPr>
        <b/>
        <i/>
        <sz val="9"/>
        <rFont val="Arial Cyr"/>
        <charset val="204"/>
      </rPr>
      <t>межпанельных швов</t>
    </r>
    <r>
      <rPr>
        <i/>
        <sz val="9"/>
        <rFont val="Arial Cyr"/>
        <charset val="204"/>
      </rPr>
      <t>, окрашивание фасада</t>
    </r>
  </si>
  <si>
    <r>
      <t xml:space="preserve">обслуживание охранной и </t>
    </r>
    <r>
      <rPr>
        <b/>
        <i/>
        <sz val="9"/>
        <rFont val="Arial Cyr"/>
        <charset val="204"/>
      </rPr>
      <t>пожарной</t>
    </r>
    <r>
      <rPr>
        <i/>
        <sz val="9"/>
        <rFont val="Arial Cyr"/>
        <charset val="204"/>
      </rPr>
      <t xml:space="preserve"> сигнализации</t>
    </r>
  </si>
  <si>
    <r>
      <t xml:space="preserve">обслуживание автоматики и циркуляционных насосов </t>
    </r>
    <r>
      <rPr>
        <b/>
        <i/>
        <sz val="9"/>
        <rFont val="Arial Cyr"/>
        <charset val="204"/>
      </rPr>
      <t>ИТП</t>
    </r>
  </si>
  <si>
    <r>
      <t xml:space="preserve">остекление, ремонт </t>
    </r>
    <r>
      <rPr>
        <b/>
        <i/>
        <sz val="9"/>
        <rFont val="Arial Cyr"/>
        <charset val="204"/>
      </rPr>
      <t>оконных рам</t>
    </r>
  </si>
  <si>
    <r>
      <t xml:space="preserve">окрашивание и ремонт </t>
    </r>
    <r>
      <rPr>
        <b/>
        <i/>
        <sz val="9"/>
        <rFont val="Arial Cyr"/>
        <charset val="204"/>
      </rPr>
      <t>лавочек</t>
    </r>
    <r>
      <rPr>
        <i/>
        <sz val="9"/>
        <rFont val="Arial Cyr"/>
        <charset val="204"/>
      </rPr>
      <t>, детского игрового оборудования, ограждений, дверей</t>
    </r>
  </si>
  <si>
    <r>
      <t>очистка внутридворовых проездов от</t>
    </r>
    <r>
      <rPr>
        <b/>
        <i/>
        <sz val="9"/>
        <rFont val="Arial Cyr"/>
        <charset val="204"/>
      </rPr>
      <t xml:space="preserve"> снега</t>
    </r>
    <r>
      <rPr>
        <i/>
        <sz val="9"/>
        <rFont val="Arial Cyr"/>
        <charset val="204"/>
      </rPr>
      <t xml:space="preserve"> спецтехникой</t>
    </r>
  </si>
  <si>
    <r>
      <rPr>
        <b/>
        <i/>
        <sz val="9"/>
        <rFont val="Arial Cyr"/>
        <charset val="204"/>
      </rPr>
      <t>очистка кровли</t>
    </r>
    <r>
      <rPr>
        <i/>
        <sz val="9"/>
        <rFont val="Arial Cyr"/>
        <charset val="204"/>
      </rPr>
      <t xml:space="preserve"> от снега и мусора</t>
    </r>
  </si>
  <si>
    <r>
      <rPr>
        <b/>
        <i/>
        <sz val="9"/>
        <rFont val="Arial Cyr"/>
        <charset val="204"/>
      </rPr>
      <t>охрана общедомового имущества</t>
    </r>
    <r>
      <rPr>
        <i/>
        <sz val="9"/>
        <rFont val="Arial Cyr"/>
        <charset val="204"/>
      </rPr>
      <t xml:space="preserve"> на дворовой территории</t>
    </r>
  </si>
  <si>
    <r>
      <t xml:space="preserve">усиление ограждения </t>
    </r>
    <r>
      <rPr>
        <b/>
        <i/>
        <sz val="9"/>
        <rFont val="Arial Cyr"/>
        <charset val="204"/>
      </rPr>
      <t>спортивной площадки</t>
    </r>
    <r>
      <rPr>
        <i/>
        <sz val="9"/>
        <rFont val="Arial Cyr"/>
        <charset val="204"/>
      </rPr>
      <t>, сети и др.</t>
    </r>
  </si>
  <si>
    <r>
      <rPr>
        <b/>
        <i/>
        <sz val="9"/>
        <rFont val="Arial Cyr"/>
        <charset val="204"/>
      </rPr>
      <t>дорожные работы</t>
    </r>
    <r>
      <rPr>
        <i/>
        <sz val="9"/>
        <rFont val="Arial Cyr"/>
        <charset val="204"/>
      </rPr>
      <t xml:space="preserve"> (асфальт, щебень, наем спецтехники)</t>
    </r>
  </si>
  <si>
    <r>
      <rPr>
        <b/>
        <i/>
        <sz val="9"/>
        <rFont val="Arial Cyr"/>
        <charset val="204"/>
      </rPr>
      <t xml:space="preserve">электротехнические </t>
    </r>
    <r>
      <rPr>
        <i/>
        <sz val="9"/>
        <rFont val="Arial Cyr"/>
        <charset val="204"/>
      </rPr>
      <t>материалы</t>
    </r>
  </si>
  <si>
    <r>
      <rPr>
        <b/>
        <i/>
        <sz val="9"/>
        <rFont val="Arial Cyr"/>
        <charset val="204"/>
      </rPr>
      <t>опрессовка</t>
    </r>
    <r>
      <rPr>
        <i/>
        <sz val="9"/>
        <rFont val="Arial Cyr"/>
        <charset val="204"/>
      </rPr>
      <t xml:space="preserve"> системы отопления и промывка теплообменников ГВС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</si>
</sst>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i/>
      <sz val="9"/>
      <color indexed="10"/>
      <name val="Arial Cyr"/>
      <charset val="204"/>
    </font>
    <font>
      <b/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16" fontId="5" fillId="3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/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3" fillId="0" borderId="33" xfId="0" applyFont="1" applyFill="1" applyBorder="1" applyAlignment="1"/>
    <xf numFmtId="0" fontId="8" fillId="0" borderId="33" xfId="0" applyFont="1" applyFill="1" applyBorder="1" applyAlignment="1"/>
    <xf numFmtId="0" fontId="7" fillId="0" borderId="48" xfId="0" applyFont="1" applyFill="1" applyBorder="1" applyAlignment="1"/>
    <xf numFmtId="0" fontId="5" fillId="0" borderId="44" xfId="0" applyFont="1" applyFill="1" applyBorder="1"/>
    <xf numFmtId="0" fontId="7" fillId="0" borderId="50" xfId="0" applyFont="1" applyFill="1" applyBorder="1" applyAlignment="1"/>
    <xf numFmtId="0" fontId="5" fillId="0" borderId="47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2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" fillId="0" borderId="58" xfId="0" applyFont="1" applyFill="1" applyBorder="1" applyAlignment="1"/>
    <xf numFmtId="0" fontId="1" fillId="0" borderId="58" xfId="0" applyFont="1" applyFill="1" applyBorder="1" applyAlignment="1">
      <alignment vertical="center"/>
    </xf>
    <xf numFmtId="0" fontId="7" fillId="0" borderId="56" xfId="0" applyFont="1" applyFill="1" applyBorder="1" applyAlignment="1"/>
    <xf numFmtId="0" fontId="1" fillId="0" borderId="59" xfId="0" applyFont="1" applyFill="1" applyBorder="1" applyAlignment="1"/>
    <xf numFmtId="1" fontId="5" fillId="0" borderId="61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6" xfId="0" applyFont="1" applyFill="1" applyBorder="1"/>
    <xf numFmtId="0" fontId="7" fillId="0" borderId="62" xfId="0" applyFont="1" applyFill="1" applyBorder="1"/>
    <xf numFmtId="0" fontId="7" fillId="0" borderId="56" xfId="0" applyNumberFormat="1" applyFont="1" applyFill="1" applyBorder="1" applyAlignment="1"/>
    <xf numFmtId="0" fontId="7" fillId="0" borderId="0" xfId="0" applyFont="1" applyFill="1"/>
    <xf numFmtId="0" fontId="3" fillId="0" borderId="56" xfId="0" applyFont="1" applyFill="1" applyBorder="1" applyAlignment="1"/>
    <xf numFmtId="0" fontId="7" fillId="0" borderId="62" xfId="0" applyFont="1" applyFill="1" applyBorder="1" applyAlignment="1"/>
    <xf numFmtId="0" fontId="7" fillId="0" borderId="63" xfId="0" applyFont="1" applyFill="1" applyBorder="1" applyAlignment="1"/>
    <xf numFmtId="0" fontId="5" fillId="0" borderId="64" xfId="0" applyFont="1" applyFill="1" applyBorder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6" xfId="0" applyFont="1" applyFill="1" applyBorder="1"/>
    <xf numFmtId="1" fontId="5" fillId="7" borderId="16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7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8" xfId="0" applyNumberFormat="1" applyFont="1" applyBorder="1" applyAlignment="1">
      <alignment horizontal="center" vertical="center"/>
    </xf>
    <xf numFmtId="0" fontId="7" fillId="0" borderId="67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9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0" fontId="5" fillId="0" borderId="65" xfId="0" applyFont="1" applyFill="1" applyBorder="1"/>
    <xf numFmtId="0" fontId="5" fillId="0" borderId="70" xfId="0" applyFont="1" applyFill="1" applyBorder="1"/>
    <xf numFmtId="0" fontId="1" fillId="0" borderId="70" xfId="0" applyNumberFormat="1" applyFont="1" applyFill="1" applyBorder="1" applyAlignment="1"/>
    <xf numFmtId="0" fontId="7" fillId="0" borderId="63" xfId="0" applyNumberFormat="1" applyFont="1" applyFill="1" applyBorder="1" applyAlignment="1"/>
    <xf numFmtId="0" fontId="1" fillId="0" borderId="70" xfId="0" applyFont="1" applyFill="1" applyBorder="1" applyAlignment="1"/>
    <xf numFmtId="0" fontId="3" fillId="0" borderId="63" xfId="0" applyFont="1" applyFill="1" applyBorder="1" applyAlignment="1"/>
    <xf numFmtId="0" fontId="7" fillId="0" borderId="71" xfId="0" applyFont="1" applyFill="1" applyBorder="1" applyAlignment="1"/>
    <xf numFmtId="0" fontId="1" fillId="0" borderId="70" xfId="0" applyFont="1" applyFill="1" applyBorder="1" applyAlignment="1">
      <alignment vertical="center"/>
    </xf>
    <xf numFmtId="0" fontId="9" fillId="0" borderId="24" xfId="0" applyFont="1" applyFill="1" applyBorder="1"/>
    <xf numFmtId="164" fontId="7" fillId="0" borderId="33" xfId="0" applyNumberFormat="1" applyFont="1" applyFill="1" applyBorder="1" applyAlignment="1"/>
    <xf numFmtId="0" fontId="5" fillId="5" borderId="47" xfId="0" applyFont="1" applyFill="1" applyBorder="1"/>
    <xf numFmtId="0" fontId="5" fillId="5" borderId="44" xfId="0" applyFont="1" applyFill="1" applyBorder="1"/>
    <xf numFmtId="0" fontId="5" fillId="5" borderId="8" xfId="0" applyFont="1" applyFill="1" applyBorder="1"/>
    <xf numFmtId="0" fontId="5" fillId="5" borderId="66" xfId="0" applyFont="1" applyFill="1" applyBorder="1"/>
    <xf numFmtId="1" fontId="7" fillId="0" borderId="18" xfId="0" applyNumberFormat="1" applyFont="1" applyFill="1" applyBorder="1"/>
    <xf numFmtId="1" fontId="5" fillId="0" borderId="61" xfId="0" applyNumberFormat="1" applyFont="1" applyFill="1" applyBorder="1"/>
    <xf numFmtId="1" fontId="5" fillId="0" borderId="17" xfId="0" applyNumberFormat="1" applyFont="1" applyFill="1" applyBorder="1"/>
    <xf numFmtId="1" fontId="5" fillId="0" borderId="60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2" fontId="7" fillId="0" borderId="75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/>
    <xf numFmtId="0" fontId="7" fillId="5" borderId="72" xfId="0" applyFont="1" applyFill="1" applyBorder="1"/>
    <xf numFmtId="0" fontId="7" fillId="5" borderId="73" xfId="0" applyFont="1" applyFill="1" applyBorder="1"/>
    <xf numFmtId="0" fontId="7" fillId="5" borderId="0" xfId="0" applyFont="1" applyFill="1" applyBorder="1"/>
    <xf numFmtId="0" fontId="7" fillId="5" borderId="33" xfId="0" applyFont="1" applyFill="1" applyBorder="1" applyAlignment="1">
      <alignment horizontal="left"/>
    </xf>
    <xf numFmtId="2" fontId="7" fillId="5" borderId="33" xfId="0" applyNumberFormat="1" applyFont="1" applyFill="1" applyBorder="1" applyAlignment="1">
      <alignment horizontal="center"/>
    </xf>
    <xf numFmtId="0" fontId="7" fillId="5" borderId="33" xfId="0" applyFont="1" applyFill="1" applyBorder="1"/>
    <xf numFmtId="0" fontId="7" fillId="5" borderId="46" xfId="0" applyFont="1" applyFill="1" applyBorder="1"/>
    <xf numFmtId="0" fontId="7" fillId="5" borderId="1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2" fontId="5" fillId="5" borderId="2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24" xfId="0" applyBorder="1"/>
    <xf numFmtId="0" fontId="7" fillId="5" borderId="67" xfId="0" applyFont="1" applyFill="1" applyBorder="1"/>
    <xf numFmtId="1" fontId="7" fillId="7" borderId="14" xfId="0" applyNumberFormat="1" applyFont="1" applyFill="1" applyBorder="1"/>
    <xf numFmtId="1" fontId="7" fillId="5" borderId="14" xfId="0" applyNumberFormat="1" applyFont="1" applyFill="1" applyBorder="1"/>
    <xf numFmtId="49" fontId="7" fillId="5" borderId="63" xfId="0" applyNumberFormat="1" applyFont="1" applyFill="1" applyBorder="1" applyAlignment="1">
      <alignment horizontal="center" vertical="center"/>
    </xf>
    <xf numFmtId="1" fontId="7" fillId="5" borderId="77" xfId="0" applyNumberFormat="1" applyFont="1" applyFill="1" applyBorder="1" applyAlignment="1">
      <alignment horizontal="center"/>
    </xf>
    <xf numFmtId="49" fontId="7" fillId="5" borderId="79" xfId="0" applyNumberFormat="1" applyFont="1" applyFill="1" applyBorder="1" applyAlignment="1">
      <alignment horizontal="center" vertical="center"/>
    </xf>
    <xf numFmtId="1" fontId="7" fillId="5" borderId="78" xfId="0" applyNumberFormat="1" applyFont="1" applyFill="1" applyBorder="1" applyAlignment="1">
      <alignment horizontal="center"/>
    </xf>
    <xf numFmtId="0" fontId="7" fillId="5" borderId="49" xfId="0" applyFont="1" applyFill="1" applyBorder="1" applyAlignment="1">
      <alignment horizontal="left"/>
    </xf>
    <xf numFmtId="2" fontId="7" fillId="5" borderId="4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80" xfId="0" applyNumberFormat="1" applyFont="1" applyFill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5" fillId="0" borderId="85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0" borderId="87" xfId="0" applyNumberFormat="1" applyFont="1" applyBorder="1" applyAlignment="1">
      <alignment horizontal="center"/>
    </xf>
    <xf numFmtId="1" fontId="3" fillId="0" borderId="86" xfId="0" applyNumberFormat="1" applyFont="1" applyBorder="1" applyAlignment="1">
      <alignment horizontal="center"/>
    </xf>
    <xf numFmtId="1" fontId="3" fillId="0" borderId="88" xfId="0" applyNumberFormat="1" applyFont="1" applyBorder="1" applyAlignment="1">
      <alignment horizontal="center"/>
    </xf>
    <xf numFmtId="1" fontId="5" fillId="0" borderId="85" xfId="0" applyNumberFormat="1" applyFont="1" applyBorder="1" applyAlignment="1">
      <alignment horizontal="center" vertical="center"/>
    </xf>
    <xf numFmtId="1" fontId="7" fillId="0" borderId="82" xfId="0" applyNumberFormat="1" applyFont="1" applyBorder="1" applyAlignment="1">
      <alignment horizontal="center"/>
    </xf>
    <xf numFmtId="1" fontId="7" fillId="0" borderId="88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9" xfId="0" applyNumberFormat="1" applyFont="1" applyBorder="1" applyAlignment="1">
      <alignment horizontal="center"/>
    </xf>
    <xf numFmtId="1" fontId="7" fillId="0" borderId="90" xfId="0" applyNumberFormat="1" applyFont="1" applyBorder="1" applyAlignment="1">
      <alignment horizontal="center"/>
    </xf>
    <xf numFmtId="1" fontId="5" fillId="5" borderId="80" xfId="0" applyNumberFormat="1" applyFont="1" applyFill="1" applyBorder="1" applyAlignment="1">
      <alignment horizontal="center"/>
    </xf>
    <xf numFmtId="49" fontId="7" fillId="5" borderId="91" xfId="0" applyNumberFormat="1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left"/>
    </xf>
    <xf numFmtId="2" fontId="7" fillId="5" borderId="92" xfId="0" applyNumberFormat="1" applyFont="1" applyFill="1" applyBorder="1" applyAlignment="1">
      <alignment horizontal="center"/>
    </xf>
    <xf numFmtId="1" fontId="7" fillId="5" borderId="84" xfId="0" applyNumberFormat="1" applyFont="1" applyFill="1" applyBorder="1" applyAlignment="1">
      <alignment horizontal="center"/>
    </xf>
    <xf numFmtId="0" fontId="7" fillId="5" borderId="60" xfId="0" applyFont="1" applyFill="1" applyBorder="1" applyAlignment="1">
      <alignment horizontal="center"/>
    </xf>
    <xf numFmtId="0" fontId="1" fillId="5" borderId="68" xfId="0" applyNumberFormat="1" applyFont="1" applyFill="1" applyBorder="1" applyAlignment="1">
      <alignment horizontal="center" vertical="center"/>
    </xf>
    <xf numFmtId="0" fontId="5" fillId="5" borderId="93" xfId="0" applyFont="1" applyFill="1" applyBorder="1" applyAlignment="1">
      <alignment horizontal="left"/>
    </xf>
    <xf numFmtId="2" fontId="1" fillId="5" borderId="59" xfId="0" applyNumberFormat="1" applyFont="1" applyFill="1" applyBorder="1" applyAlignment="1">
      <alignment horizontal="center"/>
    </xf>
    <xf numFmtId="1" fontId="5" fillId="5" borderId="94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" fontId="7" fillId="7" borderId="60" xfId="0" applyNumberFormat="1" applyFont="1" applyFill="1" applyBorder="1"/>
    <xf numFmtId="1" fontId="7" fillId="5" borderId="60" xfId="0" applyNumberFormat="1" applyFont="1" applyFill="1" applyBorder="1"/>
    <xf numFmtId="0" fontId="5" fillId="5" borderId="39" xfId="0" applyFont="1" applyFill="1" applyBorder="1"/>
    <xf numFmtId="1" fontId="5" fillId="7" borderId="17" xfId="0" applyNumberFormat="1" applyFont="1" applyFill="1" applyBorder="1"/>
    <xf numFmtId="1" fontId="5" fillId="5" borderId="17" xfId="0" applyNumberFormat="1" applyFont="1" applyFill="1" applyBorder="1"/>
    <xf numFmtId="0" fontId="5" fillId="5" borderId="95" xfId="0" applyFont="1" applyFill="1" applyBorder="1"/>
    <xf numFmtId="0" fontId="5" fillId="5" borderId="45" xfId="0" applyFont="1" applyFill="1" applyBorder="1"/>
    <xf numFmtId="0" fontId="7" fillId="0" borderId="90" xfId="0" applyFont="1" applyFill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/>
    </xf>
    <xf numFmtId="2" fontId="7" fillId="0" borderId="28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0" fontId="5" fillId="7" borderId="96" xfId="0" applyFont="1" applyFill="1" applyBorder="1"/>
    <xf numFmtId="0" fontId="12" fillId="0" borderId="1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7" borderId="33" xfId="0" applyFont="1" applyFill="1" applyBorder="1"/>
    <xf numFmtId="0" fontId="7" fillId="7" borderId="67" xfId="0" applyFont="1" applyFill="1" applyBorder="1"/>
    <xf numFmtId="1" fontId="5" fillId="0" borderId="13" xfId="0" applyNumberFormat="1" applyFont="1" applyFill="1" applyBorder="1"/>
    <xf numFmtId="0" fontId="1" fillId="0" borderId="0" xfId="0" applyFont="1" applyBorder="1" applyAlignment="1">
      <alignment horizontal="left"/>
    </xf>
    <xf numFmtId="0" fontId="5" fillId="3" borderId="6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1" fontId="1" fillId="0" borderId="16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>
      <pane xSplit="5" ySplit="4" topLeftCell="L5" activePane="bottomRight" state="frozen"/>
      <selection pane="topRight" activeCell="F1" sqref="F1"/>
      <selection pane="bottomLeft" activeCell="A5" sqref="A5"/>
      <selection pane="bottomRight" activeCell="I88" sqref="I88"/>
    </sheetView>
  </sheetViews>
  <sheetFormatPr defaultRowHeight="12.75" outlineLevelRow="2"/>
  <cols>
    <col min="1" max="1" width="6.7109375" bestFit="1" customWidth="1"/>
    <col min="2" max="2" width="78.28515625" customWidth="1"/>
    <col min="3" max="3" width="9" customWidth="1"/>
    <col min="4" max="4" width="8.7109375" customWidth="1"/>
    <col min="5" max="5" width="10" bestFit="1" customWidth="1"/>
    <col min="6" max="6" width="9.5703125" customWidth="1"/>
    <col min="7" max="7" width="8.5703125" bestFit="1" customWidth="1"/>
    <col min="8" max="8" width="10" bestFit="1" customWidth="1"/>
    <col min="9" max="9" width="9.5703125" bestFit="1" customWidth="1"/>
    <col min="10" max="10" width="10" bestFit="1" customWidth="1"/>
    <col min="11" max="11" width="9" bestFit="1" customWidth="1"/>
    <col min="12" max="12" width="11" bestFit="1" customWidth="1"/>
    <col min="13" max="13" width="9.5703125" bestFit="1" customWidth="1"/>
    <col min="14" max="14" width="10" bestFit="1" customWidth="1"/>
    <col min="15" max="15" width="9.7109375" bestFit="1" customWidth="1"/>
    <col min="16" max="16" width="10" bestFit="1" customWidth="1"/>
    <col min="17" max="19" width="9.5703125" bestFit="1" customWidth="1"/>
  </cols>
  <sheetData>
    <row r="1" spans="1:21">
      <c r="A1" s="262" t="s">
        <v>0</v>
      </c>
      <c r="B1" s="262"/>
      <c r="C1" s="262"/>
      <c r="D1" s="262"/>
      <c r="E1" s="262"/>
    </row>
    <row r="2" spans="1:21" ht="13.5" thickBot="1">
      <c r="A2" s="262" t="s">
        <v>171</v>
      </c>
      <c r="B2" s="262"/>
      <c r="C2" s="262"/>
      <c r="D2" s="262"/>
      <c r="E2" s="262"/>
    </row>
    <row r="3" spans="1:21" ht="13.5" thickBot="1">
      <c r="A3" s="263"/>
      <c r="B3" s="263"/>
      <c r="C3" s="263"/>
      <c r="D3" s="263"/>
      <c r="E3" s="263"/>
      <c r="F3" s="258" t="s">
        <v>174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109"/>
      <c r="T3" s="260" t="s">
        <v>43</v>
      </c>
      <c r="U3" s="260" t="s">
        <v>44</v>
      </c>
    </row>
    <row r="4" spans="1:21" ht="51.75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90" t="s">
        <v>165</v>
      </c>
      <c r="G4" s="87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90" t="s">
        <v>175</v>
      </c>
      <c r="T4" s="261"/>
      <c r="U4" s="261"/>
    </row>
    <row r="5" spans="1:21" ht="13.5" thickBot="1">
      <c r="A5" s="26">
        <v>1</v>
      </c>
      <c r="B5" s="6" t="s">
        <v>106</v>
      </c>
      <c r="C5" s="36">
        <f>D5/D82</f>
        <v>5.127614418306929</v>
      </c>
      <c r="D5" s="206">
        <f t="shared" ref="D5:D42" si="0">E5/12</f>
        <v>128169.84999999999</v>
      </c>
      <c r="E5" s="267">
        <v>1538038.2</v>
      </c>
      <c r="F5" s="179"/>
      <c r="G5" s="129">
        <f>11427+16782+34326+8447+6703+7794</f>
        <v>85479</v>
      </c>
      <c r="H5" s="129">
        <f>28262+33678+9317+8882+7399+7051+9396+16895</f>
        <v>120880</v>
      </c>
      <c r="I5" s="129">
        <f>37278+33678+8882+8882+7051+7051+4350+18460</f>
        <v>125632</v>
      </c>
      <c r="J5" s="129">
        <f>33678+30997+18350+30977+8882+8882+8882+7051+7051+7051+13050+27690</f>
        <v>202541</v>
      </c>
      <c r="K5" s="129">
        <f>42144+8882+7051+4350+9230</f>
        <v>71657</v>
      </c>
      <c r="L5" s="129">
        <f>22277+35200+22.321+8882+8882+8882+7051+7051+7051+13050+9230+18350</f>
        <v>145928.321</v>
      </c>
      <c r="M5" s="129">
        <f>43059+23898+8882+11280+4350+9230</f>
        <v>100699</v>
      </c>
      <c r="N5" s="129">
        <f>32433+40428+8882+8882+8882+7051+8700+18460+9025</f>
        <v>142743</v>
      </c>
      <c r="O5" s="129">
        <f>28300-3698+26708-3698+8882+12872+8700+28921</f>
        <v>106987</v>
      </c>
      <c r="P5" s="129">
        <f>36869+38228+17764+16820+18460</f>
        <v>128141</v>
      </c>
      <c r="Q5" s="129">
        <f>42343+36984+9474+9474+1160</f>
        <v>99435</v>
      </c>
      <c r="R5" s="129">
        <f>49569+7715+33110+32131+53032</f>
        <v>175557</v>
      </c>
      <c r="S5" s="130">
        <v>4132</v>
      </c>
      <c r="T5" s="131">
        <f>SUM(G5:S5)</f>
        <v>1509811.321</v>
      </c>
      <c r="U5" s="256">
        <f>E5-T5</f>
        <v>28226.878999999957</v>
      </c>
    </row>
    <row r="6" spans="1:21" ht="13.5" thickBot="1">
      <c r="A6" s="26">
        <v>2</v>
      </c>
      <c r="B6" s="6" t="s">
        <v>117</v>
      </c>
      <c r="C6" s="36">
        <f>D6/D82</f>
        <v>0.80052808449351898</v>
      </c>
      <c r="D6" s="206">
        <f t="shared" si="0"/>
        <v>20010</v>
      </c>
      <c r="E6" s="64">
        <v>240120</v>
      </c>
      <c r="F6" s="158"/>
      <c r="G6" s="91">
        <v>20010</v>
      </c>
      <c r="H6" s="91">
        <v>20010</v>
      </c>
      <c r="I6" s="91">
        <v>20010</v>
      </c>
      <c r="J6" s="91">
        <v>20010</v>
      </c>
      <c r="K6" s="91">
        <v>20010</v>
      </c>
      <c r="L6" s="91">
        <v>20010</v>
      </c>
      <c r="M6" s="91">
        <v>20010</v>
      </c>
      <c r="N6" s="91">
        <v>20010</v>
      </c>
      <c r="O6" s="91">
        <v>20010</v>
      </c>
      <c r="P6" s="91">
        <v>20010</v>
      </c>
      <c r="Q6" s="91">
        <f>18516.59+1493.41</f>
        <v>20010</v>
      </c>
      <c r="R6" s="91">
        <v>20010</v>
      </c>
      <c r="S6" s="132"/>
      <c r="T6" s="131">
        <f>SUM(G6:S6)</f>
        <v>240120</v>
      </c>
      <c r="U6" s="131">
        <f>E6-T6</f>
        <v>0</v>
      </c>
    </row>
    <row r="7" spans="1:21" ht="13.5" thickBot="1">
      <c r="A7" s="26">
        <v>3</v>
      </c>
      <c r="B7" s="6" t="s">
        <v>118</v>
      </c>
      <c r="C7" s="36">
        <f>D7/D82</f>
        <v>2.0763638848882486</v>
      </c>
      <c r="D7" s="206">
        <f>E7/12</f>
        <v>51900.791666666664</v>
      </c>
      <c r="E7" s="267">
        <v>622809.5</v>
      </c>
      <c r="F7" s="121">
        <f>21004+290</f>
        <v>21294</v>
      </c>
      <c r="G7" s="92">
        <f>86</f>
        <v>86</v>
      </c>
      <c r="H7" s="92">
        <f>91+316+35200.46+10281</f>
        <v>45888.46</v>
      </c>
      <c r="I7" s="92">
        <f>35200.46+15360+15360</f>
        <v>65920.459999999992</v>
      </c>
      <c r="J7" s="92">
        <f>316+35200.46+15360</f>
        <v>50876.46</v>
      </c>
      <c r="K7" s="91">
        <f>824+429+35200+316+9315</f>
        <v>46084</v>
      </c>
      <c r="L7" s="92">
        <f>800+1014+316+6950+35200</f>
        <v>44280</v>
      </c>
      <c r="M7" s="92">
        <f>336+91+8612+2433+33533</f>
        <v>45005</v>
      </c>
      <c r="N7" s="92">
        <f>9738+2987+25870+9397+260+91</f>
        <v>48343</v>
      </c>
      <c r="O7" s="92">
        <f>260+25870+9397+9397</f>
        <v>44924</v>
      </c>
      <c r="P7" s="92">
        <f>12196+260+2987+9397+33533</f>
        <v>58373</v>
      </c>
      <c r="Q7" s="91">
        <f>12196+33533+260</f>
        <v>45989</v>
      </c>
      <c r="R7" s="91">
        <f>25341+260+33533</f>
        <v>59134</v>
      </c>
      <c r="S7" s="121">
        <f>33533+25341+260</f>
        <v>59134</v>
      </c>
      <c r="T7" s="23">
        <f>SUM(G7:S7)</f>
        <v>614037.38</v>
      </c>
      <c r="U7" s="148">
        <f>E7-T7</f>
        <v>8772.1199999999953</v>
      </c>
    </row>
    <row r="8" spans="1:21" ht="13.5" thickBot="1">
      <c r="A8" s="26">
        <v>4</v>
      </c>
      <c r="B8" s="6" t="s">
        <v>105</v>
      </c>
      <c r="C8" s="36">
        <f>D8/D82</f>
        <v>0.33338667520136556</v>
      </c>
      <c r="D8" s="206">
        <f t="shared" si="0"/>
        <v>8333.3333333333339</v>
      </c>
      <c r="E8" s="64">
        <v>100000</v>
      </c>
      <c r="F8" s="150"/>
      <c r="G8" s="91">
        <f>30+640+52.2+171.63+360+216.77+343.22+401.04+466.06+634.97+737.94+216+108+2800</f>
        <v>7177.83</v>
      </c>
      <c r="H8" s="91">
        <f>16.25+39.15+100.05+141.31+544.8+201.6+30+300+1300+30+374.4+180+73.96+150+168.39+150+396+90+360+60+120</f>
        <v>4825.91</v>
      </c>
      <c r="I8" s="91">
        <f>6+30+16.25+73.96+100.05+156+186.39+240+180+665+345+78.6+168.39+480+650+90+192+30+409.2+180+180+1100</f>
        <v>5556.84</v>
      </c>
      <c r="J8" s="91">
        <f>30+3610+73.96+100.05+168.39+300+60+468+90+305.4+30+480+650+288+73.96+154.89+210+240.98+120+8.07+8.07+57.2+112.93+112.93+330+800.8+650+1350</f>
        <v>10883.63</v>
      </c>
      <c r="K8" s="91">
        <f>156+234+73.96+210.72+558.4+500+351+6+39+379.2+117+11.71+11.71+83.03+774.97+109.29+109.29+1100</f>
        <v>4825.28</v>
      </c>
      <c r="L8" s="91">
        <f>112+234+6.25+73.96+100.05+111.39+78+748.8+117+39+650+111.61+73.96+6+624+352+256+117+880.8+112.93+112.93+57.2+8.07+8.07+1100</f>
        <v>6091.0199999999995</v>
      </c>
      <c r="M8" s="91">
        <f>351+11.25+100.05+99.85+215.3+117+195+208+650+119.49+55.47+234+256+78+6+39+774.97+109.29+109.29+83.03+11.71+11.71+1100</f>
        <v>4935.41</v>
      </c>
      <c r="N8" s="91">
        <f>195+162.17+100.05+88.97+11.2+39+100.8+195+39+208+234+203.2+78+200+546+6+312+650+202.14+50.54+39+117+78+572+144+11.71+11.71+83.03+774.97+109.29+109.29+1100</f>
        <v>6771.07</v>
      </c>
      <c r="O8" s="91">
        <f>78+104+351+144+19.75+73.96+100.05+141.5+144+351+195+248+234+272+506+328+39+6+73.96+133.54+468+650+78+39+53.6+156+176+3.3+3.3+23.4+46.2+46.2+327.6+1100</f>
        <v>6713.3600000000006</v>
      </c>
      <c r="P8" s="91">
        <f>184+100+74+15+200+480+320+420+650+55.47+91+191.14+240+89.4+120+51.6+180+60+60+120+4.79+4.79+33.97+44.71+44.71+317.03+450</f>
        <v>4601.6099999999997</v>
      </c>
      <c r="Q8" s="91">
        <f>60+69.6+306+420+261.6+360+650+398.01+280+720+60+603.3+3.3+23.4+46.2+46.2+175.2+327.6+450</f>
        <v>5260.41</v>
      </c>
      <c r="R8" s="91">
        <f>60+592+480+120+203.2+208+240+168+513.47+650+786+120+154.4+240+384+216.13+540+4.79+4.79+33.97+44.71+44.71+60+317.03+450</f>
        <v>6635.2</v>
      </c>
      <c r="S8" s="121"/>
      <c r="T8" s="23">
        <f t="shared" ref="T8:T18" si="1">SUM(G8:S8)</f>
        <v>74277.569999999992</v>
      </c>
      <c r="U8" s="23">
        <f t="shared" ref="U8:U68" si="2">E8-T8</f>
        <v>25722.430000000008</v>
      </c>
    </row>
    <row r="9" spans="1:21">
      <c r="A9" s="139">
        <v>5</v>
      </c>
      <c r="B9" s="7" t="s">
        <v>5</v>
      </c>
      <c r="C9" s="37">
        <f>D9/D82</f>
        <v>7.0011201792286759E-2</v>
      </c>
      <c r="D9" s="207">
        <f t="shared" si="0"/>
        <v>1750</v>
      </c>
      <c r="E9" s="65">
        <f>E10+E11</f>
        <v>21000</v>
      </c>
      <c r="F9" s="151">
        <f>SUM(F10:F11)</f>
        <v>0</v>
      </c>
      <c r="G9" s="86">
        <f>SUM(G10:G11)</f>
        <v>3615.92</v>
      </c>
      <c r="H9" s="86">
        <f>SUM(H10:H11)</f>
        <v>0</v>
      </c>
      <c r="I9" s="86">
        <f>SUM(I10:I11)</f>
        <v>1193.73</v>
      </c>
      <c r="J9" s="86">
        <f t="shared" ref="J9:S9" si="3">SUM(J10:J11)</f>
        <v>4934.76</v>
      </c>
      <c r="K9" s="86">
        <f t="shared" si="3"/>
        <v>6559.93</v>
      </c>
      <c r="L9" s="86">
        <f t="shared" si="3"/>
        <v>1782.86</v>
      </c>
      <c r="M9" s="86">
        <f t="shared" si="3"/>
        <v>1803.9099999999999</v>
      </c>
      <c r="N9" s="86">
        <f t="shared" si="3"/>
        <v>0</v>
      </c>
      <c r="O9" s="86">
        <f t="shared" si="3"/>
        <v>165.4</v>
      </c>
      <c r="P9" s="86">
        <f t="shared" si="3"/>
        <v>3240.28</v>
      </c>
      <c r="Q9" s="86">
        <f t="shared" si="3"/>
        <v>3456.85</v>
      </c>
      <c r="R9" s="86">
        <f t="shared" si="3"/>
        <v>1831.6599999999999</v>
      </c>
      <c r="S9" s="86">
        <f t="shared" si="3"/>
        <v>165</v>
      </c>
      <c r="T9" s="24">
        <f t="shared" si="1"/>
        <v>28750.3</v>
      </c>
      <c r="U9" s="24">
        <f t="shared" si="2"/>
        <v>-7750.2999999999993</v>
      </c>
    </row>
    <row r="10" spans="1:21" s="55" customFormat="1" ht="12" outlineLevel="1">
      <c r="A10" s="31" t="s">
        <v>45</v>
      </c>
      <c r="B10" s="43" t="s">
        <v>96</v>
      </c>
      <c r="C10" s="44">
        <f>D10/D82</f>
        <v>6.00096015362458E-2</v>
      </c>
      <c r="D10" s="208">
        <f t="shared" si="0"/>
        <v>1500</v>
      </c>
      <c r="E10" s="47">
        <v>18000</v>
      </c>
      <c r="F10" s="122"/>
      <c r="G10" s="93">
        <v>1444.32</v>
      </c>
      <c r="H10" s="93"/>
      <c r="I10" s="93">
        <f>1458.67-1458.67+1095.73</f>
        <v>1095.73</v>
      </c>
      <c r="J10" s="93">
        <f>4934.76</f>
        <v>4934.76</v>
      </c>
      <c r="K10" s="93">
        <v>6559.93</v>
      </c>
      <c r="L10" s="93">
        <f>1698.86</f>
        <v>1698.86</v>
      </c>
      <c r="M10" s="93">
        <v>1642.56</v>
      </c>
      <c r="N10" s="93"/>
      <c r="O10" s="93"/>
      <c r="P10" s="93">
        <v>3240.28</v>
      </c>
      <c r="Q10" s="93">
        <f>3380.2+76.65</f>
        <v>3456.85</v>
      </c>
      <c r="R10" s="93">
        <f>13.1+1654.36</f>
        <v>1667.4599999999998</v>
      </c>
      <c r="S10" s="122"/>
      <c r="T10" s="54">
        <f t="shared" si="1"/>
        <v>25740.75</v>
      </c>
      <c r="U10" s="54">
        <f t="shared" si="2"/>
        <v>-7740.75</v>
      </c>
    </row>
    <row r="11" spans="1:21" s="55" customFormat="1" outlineLevel="1" thickBot="1">
      <c r="A11" s="31" t="s">
        <v>46</v>
      </c>
      <c r="B11" s="50" t="s">
        <v>6</v>
      </c>
      <c r="C11" s="51">
        <f>D11/D82</f>
        <v>1.0001600256040967E-2</v>
      </c>
      <c r="D11" s="209">
        <f t="shared" si="0"/>
        <v>250</v>
      </c>
      <c r="E11" s="66">
        <v>3000</v>
      </c>
      <c r="F11" s="123"/>
      <c r="G11" s="94">
        <v>2171.6</v>
      </c>
      <c r="H11" s="94"/>
      <c r="I11" s="94">
        <v>98</v>
      </c>
      <c r="J11" s="94"/>
      <c r="K11" s="94"/>
      <c r="L11" s="94">
        <f>42+42</f>
        <v>84</v>
      </c>
      <c r="M11" s="94">
        <v>161.35</v>
      </c>
      <c r="N11" s="94"/>
      <c r="O11" s="94">
        <v>165.4</v>
      </c>
      <c r="P11" s="94"/>
      <c r="Q11" s="94"/>
      <c r="R11" s="94">
        <v>164.2</v>
      </c>
      <c r="S11" s="123">
        <v>165</v>
      </c>
      <c r="T11" s="54">
        <f t="shared" si="1"/>
        <v>3009.5499999999997</v>
      </c>
      <c r="U11" s="67">
        <f t="shared" si="2"/>
        <v>-9.5499999999997272</v>
      </c>
    </row>
    <row r="12" spans="1:21">
      <c r="A12" s="27" t="s">
        <v>107</v>
      </c>
      <c r="B12" s="7" t="s">
        <v>7</v>
      </c>
      <c r="C12" s="37">
        <f>D12/D82</f>
        <v>0.18002880460873741</v>
      </c>
      <c r="D12" s="207">
        <f t="shared" si="0"/>
        <v>4500</v>
      </c>
      <c r="E12" s="65">
        <f>E13+E14</f>
        <v>54000</v>
      </c>
      <c r="F12" s="152">
        <f t="shared" ref="F12:S12" si="4">SUM(F13:F14)</f>
        <v>3000</v>
      </c>
      <c r="G12" s="69">
        <f t="shared" si="4"/>
        <v>4000</v>
      </c>
      <c r="H12" s="69">
        <f>SUM(H13:H14)</f>
        <v>4000</v>
      </c>
      <c r="I12" s="69">
        <f t="shared" si="4"/>
        <v>4000</v>
      </c>
      <c r="J12" s="69">
        <f t="shared" si="4"/>
        <v>10140</v>
      </c>
      <c r="K12" s="69">
        <f t="shared" si="4"/>
        <v>4000</v>
      </c>
      <c r="L12" s="69">
        <f t="shared" si="4"/>
        <v>4000</v>
      </c>
      <c r="M12" s="69">
        <f t="shared" si="4"/>
        <v>4000</v>
      </c>
      <c r="N12" s="69">
        <f t="shared" si="4"/>
        <v>4000</v>
      </c>
      <c r="O12" s="69">
        <f t="shared" si="4"/>
        <v>4000</v>
      </c>
      <c r="P12" s="69">
        <f t="shared" si="4"/>
        <v>4000</v>
      </c>
      <c r="Q12" s="69">
        <f t="shared" si="4"/>
        <v>4000</v>
      </c>
      <c r="R12" s="69">
        <f t="shared" si="4"/>
        <v>4000</v>
      </c>
      <c r="S12" s="69">
        <f t="shared" si="4"/>
        <v>0</v>
      </c>
      <c r="T12" s="24">
        <f t="shared" si="1"/>
        <v>54140</v>
      </c>
      <c r="U12" s="24">
        <f t="shared" si="2"/>
        <v>-140</v>
      </c>
    </row>
    <row r="13" spans="1:21" s="55" customFormat="1" ht="12" outlineLevel="1">
      <c r="A13" s="31" t="s">
        <v>131</v>
      </c>
      <c r="B13" s="68" t="s">
        <v>8</v>
      </c>
      <c r="C13" s="44">
        <f>D13/D82</f>
        <v>0.16002560409665548</v>
      </c>
      <c r="D13" s="208">
        <f t="shared" si="0"/>
        <v>4000</v>
      </c>
      <c r="E13" s="47">
        <v>48000</v>
      </c>
      <c r="F13" s="153">
        <v>3000</v>
      </c>
      <c r="G13" s="70">
        <v>4000</v>
      </c>
      <c r="H13" s="70">
        <v>4000</v>
      </c>
      <c r="I13" s="70">
        <v>4000</v>
      </c>
      <c r="J13" s="70">
        <v>4000</v>
      </c>
      <c r="K13" s="70">
        <v>4000</v>
      </c>
      <c r="L13" s="70">
        <v>4000</v>
      </c>
      <c r="M13" s="70">
        <v>4000</v>
      </c>
      <c r="N13" s="70">
        <v>4000</v>
      </c>
      <c r="O13" s="70">
        <v>4000</v>
      </c>
      <c r="P13" s="70">
        <v>4000</v>
      </c>
      <c r="Q13" s="70">
        <v>4000</v>
      </c>
      <c r="R13" s="70">
        <v>4000</v>
      </c>
      <c r="S13" s="124"/>
      <c r="T13" s="54">
        <f t="shared" si="1"/>
        <v>48000</v>
      </c>
      <c r="U13" s="54">
        <f t="shared" si="2"/>
        <v>0</v>
      </c>
    </row>
    <row r="14" spans="1:21" s="55" customFormat="1" outlineLevel="1" thickBot="1">
      <c r="A14" s="31" t="s">
        <v>132</v>
      </c>
      <c r="B14" s="43" t="s">
        <v>9</v>
      </c>
      <c r="C14" s="44">
        <f>D14/D82</f>
        <v>2.0003200512081935E-2</v>
      </c>
      <c r="D14" s="208">
        <f t="shared" si="0"/>
        <v>500</v>
      </c>
      <c r="E14" s="47">
        <v>6000</v>
      </c>
      <c r="F14" s="153"/>
      <c r="G14" s="70"/>
      <c r="H14" s="70"/>
      <c r="I14" s="70"/>
      <c r="J14" s="70">
        <v>6140</v>
      </c>
      <c r="K14" s="70"/>
      <c r="L14" s="70"/>
      <c r="M14" s="70"/>
      <c r="N14" s="70"/>
      <c r="O14" s="70"/>
      <c r="P14" s="70"/>
      <c r="Q14" s="70"/>
      <c r="R14" s="70"/>
      <c r="S14" s="70"/>
      <c r="T14" s="52">
        <f t="shared" si="1"/>
        <v>6140</v>
      </c>
      <c r="U14" s="54">
        <f t="shared" si="2"/>
        <v>-140</v>
      </c>
    </row>
    <row r="15" spans="1:21" ht="13.5" thickBot="1">
      <c r="A15" s="28" t="s">
        <v>108</v>
      </c>
      <c r="B15" s="6" t="s">
        <v>11</v>
      </c>
      <c r="C15" s="36">
        <f>D15/D82</f>
        <v>1.0001600256040967E-2</v>
      </c>
      <c r="D15" s="206">
        <f t="shared" si="0"/>
        <v>250</v>
      </c>
      <c r="E15" s="64">
        <v>3000</v>
      </c>
      <c r="F15" s="150"/>
      <c r="G15" s="91"/>
      <c r="H15" s="91"/>
      <c r="I15" s="91">
        <v>19500</v>
      </c>
      <c r="J15" s="91"/>
      <c r="K15" s="91"/>
      <c r="L15" s="91"/>
      <c r="M15" s="91">
        <v>2264</v>
      </c>
      <c r="N15" s="91"/>
      <c r="O15" s="91"/>
      <c r="P15" s="91"/>
      <c r="Q15" s="91">
        <v>5999</v>
      </c>
      <c r="R15" s="91"/>
      <c r="S15" s="132"/>
      <c r="T15" s="23">
        <f>SUM(G15:S15)</f>
        <v>27763</v>
      </c>
      <c r="U15" s="23">
        <f t="shared" si="2"/>
        <v>-24763</v>
      </c>
    </row>
    <row r="16" spans="1:21">
      <c r="A16" s="27" t="s">
        <v>109</v>
      </c>
      <c r="B16" s="7" t="s">
        <v>69</v>
      </c>
      <c r="C16" s="37">
        <f>D16/D82</f>
        <v>0.13768869685816396</v>
      </c>
      <c r="D16" s="207">
        <f t="shared" si="0"/>
        <v>3441.6666666666665</v>
      </c>
      <c r="E16" s="65">
        <f>SUM(E17:E19)</f>
        <v>41300</v>
      </c>
      <c r="F16" s="154">
        <f t="shared" ref="F16:S16" si="5">SUM(F17:F19)</f>
        <v>0</v>
      </c>
      <c r="G16" s="71">
        <f t="shared" si="5"/>
        <v>7046</v>
      </c>
      <c r="H16" s="71">
        <f t="shared" si="5"/>
        <v>18194</v>
      </c>
      <c r="I16" s="71">
        <f t="shared" si="5"/>
        <v>2650</v>
      </c>
      <c r="J16" s="71">
        <f t="shared" si="5"/>
        <v>3134</v>
      </c>
      <c r="K16" s="71">
        <f t="shared" si="5"/>
        <v>6855.2</v>
      </c>
      <c r="L16" s="71">
        <f t="shared" si="5"/>
        <v>986</v>
      </c>
      <c r="M16" s="71">
        <f t="shared" si="5"/>
        <v>2687.6</v>
      </c>
      <c r="N16" s="71">
        <f t="shared" si="5"/>
        <v>16443</v>
      </c>
      <c r="O16" s="71">
        <f t="shared" si="5"/>
        <v>1100</v>
      </c>
      <c r="P16" s="71">
        <f t="shared" si="5"/>
        <v>3449.2</v>
      </c>
      <c r="Q16" s="71">
        <f t="shared" si="5"/>
        <v>1725</v>
      </c>
      <c r="R16" s="71">
        <f t="shared" si="5"/>
        <v>866</v>
      </c>
      <c r="S16" s="110">
        <f t="shared" si="5"/>
        <v>1853.5</v>
      </c>
      <c r="T16" s="24">
        <f t="shared" si="1"/>
        <v>66989.5</v>
      </c>
      <c r="U16" s="24">
        <f t="shared" si="2"/>
        <v>-25689.5</v>
      </c>
    </row>
    <row r="17" spans="1:21" s="55" customFormat="1" ht="12" outlineLevel="1">
      <c r="A17" s="31" t="s">
        <v>47</v>
      </c>
      <c r="B17" s="43" t="s">
        <v>88</v>
      </c>
      <c r="C17" s="44">
        <f>D17/D82</f>
        <v>6.6677335040273109E-2</v>
      </c>
      <c r="D17" s="208">
        <f t="shared" si="0"/>
        <v>1666.6666666666667</v>
      </c>
      <c r="E17" s="47">
        <v>20000</v>
      </c>
      <c r="F17" s="128"/>
      <c r="G17" s="73">
        <f>1796+1800+2250</f>
        <v>5846</v>
      </c>
      <c r="H17" s="73"/>
      <c r="I17" s="73"/>
      <c r="J17" s="73">
        <v>1634</v>
      </c>
      <c r="K17" s="73">
        <f>1200+55.2</f>
        <v>1255.2</v>
      </c>
      <c r="L17" s="73">
        <v>986</v>
      </c>
      <c r="M17" s="73">
        <v>1687.6</v>
      </c>
      <c r="N17" s="73">
        <f>3500+97</f>
        <v>3597</v>
      </c>
      <c r="O17" s="73"/>
      <c r="P17" s="73">
        <f>1449.2</f>
        <v>1449.2</v>
      </c>
      <c r="Q17" s="73">
        <v>1125</v>
      </c>
      <c r="R17" s="73">
        <v>366</v>
      </c>
      <c r="S17" s="112">
        <v>1853.5</v>
      </c>
      <c r="T17" s="54">
        <f t="shared" si="1"/>
        <v>19799.5</v>
      </c>
      <c r="U17" s="54">
        <f t="shared" si="2"/>
        <v>200.5</v>
      </c>
    </row>
    <row r="18" spans="1:21" s="55" customFormat="1" ht="12" outlineLevel="1">
      <c r="A18" s="31" t="s">
        <v>48</v>
      </c>
      <c r="B18" s="43" t="s">
        <v>72</v>
      </c>
      <c r="C18" s="44">
        <f>D18/D82</f>
        <v>1.0001600256040967E-2</v>
      </c>
      <c r="D18" s="208">
        <f t="shared" si="0"/>
        <v>250</v>
      </c>
      <c r="E18" s="47">
        <v>3000</v>
      </c>
      <c r="F18" s="128"/>
      <c r="G18" s="73">
        <v>1200</v>
      </c>
      <c r="H18" s="73"/>
      <c r="I18" s="73">
        <f>1750+900</f>
        <v>2650</v>
      </c>
      <c r="J18" s="73"/>
      <c r="K18" s="73">
        <v>5600</v>
      </c>
      <c r="L18" s="73"/>
      <c r="M18" s="125">
        <v>1000</v>
      </c>
      <c r="N18" s="73"/>
      <c r="O18" s="73">
        <v>1100</v>
      </c>
      <c r="P18" s="73"/>
      <c r="Q18" s="73">
        <v>600</v>
      </c>
      <c r="R18" s="73">
        <v>500</v>
      </c>
      <c r="S18" s="112"/>
      <c r="T18" s="54">
        <f t="shared" si="1"/>
        <v>12650</v>
      </c>
      <c r="U18" s="54">
        <f t="shared" si="2"/>
        <v>-9650</v>
      </c>
    </row>
    <row r="19" spans="1:21" s="55" customFormat="1" ht="12" outlineLevel="1">
      <c r="A19" s="31" t="s">
        <v>49</v>
      </c>
      <c r="B19" s="43" t="s">
        <v>68</v>
      </c>
      <c r="C19" s="44">
        <f>D19/D82</f>
        <v>6.1009761561849896E-2</v>
      </c>
      <c r="D19" s="208">
        <f t="shared" si="0"/>
        <v>1525</v>
      </c>
      <c r="E19" s="47">
        <f t="shared" ref="E19:S19" si="6">SUM(E20:E22)</f>
        <v>18300</v>
      </c>
      <c r="F19" s="128">
        <f>SUM(F20:F22)</f>
        <v>0</v>
      </c>
      <c r="G19" s="73">
        <f t="shared" si="6"/>
        <v>0</v>
      </c>
      <c r="H19" s="73">
        <f t="shared" si="6"/>
        <v>18194</v>
      </c>
      <c r="I19" s="73">
        <f t="shared" si="6"/>
        <v>0</v>
      </c>
      <c r="J19" s="73">
        <f t="shared" si="6"/>
        <v>1500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6"/>
        <v>12846</v>
      </c>
      <c r="O19" s="73">
        <f t="shared" si="6"/>
        <v>0</v>
      </c>
      <c r="P19" s="73">
        <f t="shared" si="6"/>
        <v>2000</v>
      </c>
      <c r="Q19" s="73">
        <f t="shared" si="6"/>
        <v>0</v>
      </c>
      <c r="R19" s="73">
        <f t="shared" si="6"/>
        <v>0</v>
      </c>
      <c r="S19" s="73">
        <f t="shared" si="6"/>
        <v>0</v>
      </c>
      <c r="T19" s="54">
        <f>SUM(G19:S19)</f>
        <v>34540</v>
      </c>
      <c r="U19" s="135">
        <f t="shared" si="2"/>
        <v>-16240</v>
      </c>
    </row>
    <row r="20" spans="1:21" s="12" customFormat="1" ht="11.25" outlineLevel="2">
      <c r="A20" s="29" t="s">
        <v>135</v>
      </c>
      <c r="B20" s="3" t="s">
        <v>70</v>
      </c>
      <c r="C20" s="38">
        <f>D20/D82</f>
        <v>4.3340267776177518E-3</v>
      </c>
      <c r="D20" s="210">
        <f t="shared" si="0"/>
        <v>108.33333333333333</v>
      </c>
      <c r="E20" s="80">
        <v>1300</v>
      </c>
      <c r="F20" s="155"/>
      <c r="G20" s="95"/>
      <c r="H20" s="95">
        <v>1320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126"/>
      <c r="T20" s="21">
        <f t="shared" ref="T20:T24" si="7">SUM(G20:S20)</f>
        <v>1320</v>
      </c>
      <c r="U20" s="21">
        <f t="shared" si="2"/>
        <v>-20</v>
      </c>
    </row>
    <row r="21" spans="1:21" s="12" customFormat="1" ht="11.25" outlineLevel="2">
      <c r="A21" s="29" t="s">
        <v>136</v>
      </c>
      <c r="B21" s="74" t="s">
        <v>170</v>
      </c>
      <c r="C21" s="38">
        <f>D21/D82</f>
        <v>4.0006401024163869E-2</v>
      </c>
      <c r="D21" s="211">
        <f t="shared" si="0"/>
        <v>1000</v>
      </c>
      <c r="E21" s="82">
        <v>12000</v>
      </c>
      <c r="F21" s="126"/>
      <c r="G21" s="95"/>
      <c r="H21" s="95">
        <v>14154</v>
      </c>
      <c r="I21" s="95"/>
      <c r="J21" s="95"/>
      <c r="K21" s="95"/>
      <c r="L21" s="95"/>
      <c r="M21" s="95"/>
      <c r="N21" s="95">
        <v>12846</v>
      </c>
      <c r="O21" s="95"/>
      <c r="P21" s="95"/>
      <c r="Q21" s="95"/>
      <c r="R21" s="95"/>
      <c r="S21" s="126"/>
      <c r="T21" s="21">
        <f t="shared" si="7"/>
        <v>27000</v>
      </c>
      <c r="U21" s="21">
        <f t="shared" si="2"/>
        <v>-15000</v>
      </c>
    </row>
    <row r="22" spans="1:21" s="12" customFormat="1" outlineLevel="2" thickBot="1">
      <c r="A22" s="29" t="s">
        <v>137</v>
      </c>
      <c r="B22" s="74" t="s">
        <v>93</v>
      </c>
      <c r="C22" s="38">
        <f>D22/D82</f>
        <v>1.6669333760068277E-2</v>
      </c>
      <c r="D22" s="211">
        <f t="shared" si="0"/>
        <v>416.66666666666669</v>
      </c>
      <c r="E22" s="82">
        <v>5000</v>
      </c>
      <c r="F22" s="155"/>
      <c r="G22" s="95"/>
      <c r="H22" s="95">
        <f>1320+1400</f>
        <v>2720</v>
      </c>
      <c r="I22" s="95"/>
      <c r="J22" s="95">
        <v>1500</v>
      </c>
      <c r="K22" s="95"/>
      <c r="L22" s="95"/>
      <c r="M22" s="73"/>
      <c r="N22" s="95"/>
      <c r="O22" s="95"/>
      <c r="P22" s="95">
        <v>2000</v>
      </c>
      <c r="Q22" s="95"/>
      <c r="R22" s="95"/>
      <c r="S22" s="126"/>
      <c r="T22" s="21">
        <f t="shared" si="7"/>
        <v>6220</v>
      </c>
      <c r="U22" s="21">
        <f t="shared" si="2"/>
        <v>-1220</v>
      </c>
    </row>
    <row r="23" spans="1:21">
      <c r="A23" s="27" t="s">
        <v>110</v>
      </c>
      <c r="B23" s="7" t="s">
        <v>12</v>
      </c>
      <c r="C23" s="37">
        <f>D23/D82</f>
        <v>9.6682135808396005E-2</v>
      </c>
      <c r="D23" s="207">
        <f t="shared" si="0"/>
        <v>2416.6666666666665</v>
      </c>
      <c r="E23" s="65">
        <f>SUM(E24:E27)</f>
        <v>29000</v>
      </c>
      <c r="F23" s="154">
        <f t="shared" ref="F23:S23" si="8">SUM(F24:F27)</f>
        <v>0</v>
      </c>
      <c r="G23" s="71">
        <f t="shared" si="8"/>
        <v>167</v>
      </c>
      <c r="H23" s="71">
        <f t="shared" si="8"/>
        <v>3282.64</v>
      </c>
      <c r="I23" s="71">
        <f>SUM(I24:I27)</f>
        <v>0</v>
      </c>
      <c r="J23" s="71">
        <f t="shared" si="8"/>
        <v>0</v>
      </c>
      <c r="K23" s="71">
        <f t="shared" si="8"/>
        <v>3649.9</v>
      </c>
      <c r="L23" s="71">
        <f t="shared" si="8"/>
        <v>0</v>
      </c>
      <c r="M23" s="71">
        <f t="shared" si="8"/>
        <v>867.8</v>
      </c>
      <c r="N23" s="71">
        <f>SUM(N24:N27)</f>
        <v>7608.72</v>
      </c>
      <c r="O23" s="71">
        <f t="shared" si="8"/>
        <v>189</v>
      </c>
      <c r="P23" s="71">
        <f t="shared" si="8"/>
        <v>11836</v>
      </c>
      <c r="Q23" s="71">
        <f t="shared" si="8"/>
        <v>6946.68</v>
      </c>
      <c r="R23" s="71">
        <f t="shared" si="8"/>
        <v>893.2</v>
      </c>
      <c r="S23" s="110">
        <f t="shared" si="8"/>
        <v>0</v>
      </c>
      <c r="T23" s="24">
        <f t="shared" si="7"/>
        <v>35440.94</v>
      </c>
      <c r="U23" s="24">
        <f t="shared" si="2"/>
        <v>-6440.9400000000023</v>
      </c>
    </row>
    <row r="24" spans="1:21" s="55" customFormat="1" ht="12" outlineLevel="1">
      <c r="A24" s="31" t="s">
        <v>50</v>
      </c>
      <c r="B24" s="43" t="s">
        <v>190</v>
      </c>
      <c r="C24" s="44">
        <f>D24/D82</f>
        <v>6.6677335040273109E-2</v>
      </c>
      <c r="D24" s="208">
        <f t="shared" si="0"/>
        <v>1666.6666666666667</v>
      </c>
      <c r="E24" s="47">
        <v>20000</v>
      </c>
      <c r="F24" s="112"/>
      <c r="G24" s="73">
        <v>167</v>
      </c>
      <c r="H24" s="73">
        <f>3000</f>
        <v>3000</v>
      </c>
      <c r="I24" s="96"/>
      <c r="J24" s="73"/>
      <c r="K24" s="73">
        <v>3000</v>
      </c>
      <c r="L24" s="73"/>
      <c r="M24" s="73">
        <f>533+109.8</f>
        <v>642.79999999999995</v>
      </c>
      <c r="N24" s="73">
        <v>5327.72</v>
      </c>
      <c r="O24" s="73">
        <f>139+50</f>
        <v>189</v>
      </c>
      <c r="P24" s="73">
        <f>447.4+11388.6</f>
        <v>11836</v>
      </c>
      <c r="Q24" s="73">
        <f>5329.68+1200+417</f>
        <v>6946.68</v>
      </c>
      <c r="R24" s="73">
        <v>193.2</v>
      </c>
      <c r="S24" s="112"/>
      <c r="T24" s="54">
        <f t="shared" si="7"/>
        <v>31302.400000000001</v>
      </c>
      <c r="U24" s="54">
        <f t="shared" si="2"/>
        <v>-11302.400000000001</v>
      </c>
    </row>
    <row r="25" spans="1:21" s="55" customFormat="1" ht="12" outlineLevel="1">
      <c r="A25" s="31" t="s">
        <v>51</v>
      </c>
      <c r="B25" s="43" t="s">
        <v>15</v>
      </c>
      <c r="C25" s="44">
        <f>D25/D82</f>
        <v>1.6669333760068277E-2</v>
      </c>
      <c r="D25" s="208">
        <f t="shared" si="0"/>
        <v>416.66666666666669</v>
      </c>
      <c r="E25" s="47">
        <v>5000</v>
      </c>
      <c r="F25" s="128"/>
      <c r="G25" s="73"/>
      <c r="H25" s="73">
        <v>282.64</v>
      </c>
      <c r="I25" s="73"/>
      <c r="J25" s="73"/>
      <c r="K25" s="73">
        <v>649.9</v>
      </c>
      <c r="L25" s="73"/>
      <c r="M25" s="73">
        <v>225</v>
      </c>
      <c r="N25" s="73">
        <v>2226</v>
      </c>
      <c r="O25" s="73"/>
      <c r="P25" s="73"/>
      <c r="Q25" s="73"/>
      <c r="R25" s="73"/>
      <c r="S25" s="112"/>
      <c r="T25" s="54">
        <f t="shared" ref="T25:T69" si="9">SUM(G25:S25)</f>
        <v>3383.54</v>
      </c>
      <c r="U25" s="54">
        <f t="shared" si="2"/>
        <v>1616.46</v>
      </c>
    </row>
    <row r="26" spans="1:21" s="55" customFormat="1" ht="12" outlineLevel="1">
      <c r="A26" s="31" t="s">
        <v>52</v>
      </c>
      <c r="B26" s="43" t="s">
        <v>191</v>
      </c>
      <c r="C26" s="44">
        <f>D26/D82</f>
        <v>3.3338667520136553E-3</v>
      </c>
      <c r="D26" s="208">
        <f t="shared" si="0"/>
        <v>83.333333333333329</v>
      </c>
      <c r="E26" s="47">
        <v>1000</v>
      </c>
      <c r="F26" s="128"/>
      <c r="G26" s="73"/>
      <c r="H26" s="73"/>
      <c r="I26" s="73"/>
      <c r="J26" s="73"/>
      <c r="K26" s="73"/>
      <c r="L26" s="73"/>
      <c r="M26" s="73"/>
      <c r="N26" s="73">
        <f>55</f>
        <v>55</v>
      </c>
      <c r="O26" s="73"/>
      <c r="P26" s="73"/>
      <c r="Q26" s="73"/>
      <c r="R26" s="73">
        <v>700</v>
      </c>
      <c r="S26" s="112"/>
      <c r="T26" s="54">
        <f t="shared" si="9"/>
        <v>755</v>
      </c>
      <c r="U26" s="54">
        <f t="shared" si="2"/>
        <v>245</v>
      </c>
    </row>
    <row r="27" spans="1:21" s="55" customFormat="1" outlineLevel="1" thickBot="1">
      <c r="A27" s="32" t="s">
        <v>53</v>
      </c>
      <c r="B27" s="50" t="s">
        <v>84</v>
      </c>
      <c r="C27" s="51">
        <f>D27/D82</f>
        <v>1.0001600256040967E-2</v>
      </c>
      <c r="D27" s="209">
        <f t="shared" si="0"/>
        <v>250</v>
      </c>
      <c r="E27" s="66">
        <v>3000</v>
      </c>
      <c r="F27" s="156"/>
      <c r="G27" s="97"/>
      <c r="H27" s="125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27"/>
      <c r="T27" s="67">
        <f t="shared" si="9"/>
        <v>0</v>
      </c>
      <c r="U27" s="67">
        <f t="shared" si="2"/>
        <v>3000</v>
      </c>
    </row>
    <row r="28" spans="1:21" ht="27" customHeight="1">
      <c r="A28" s="27" t="s">
        <v>111</v>
      </c>
      <c r="B28" s="8" t="s">
        <v>17</v>
      </c>
      <c r="C28" s="41">
        <f>D28/D82</f>
        <v>1.1745212567344108</v>
      </c>
      <c r="D28" s="212">
        <f t="shared" si="0"/>
        <v>29358.333333333332</v>
      </c>
      <c r="E28" s="83">
        <f>SUM(E29:E43)</f>
        <v>352300</v>
      </c>
      <c r="F28" s="157">
        <f t="shared" ref="F28:S28" si="10">SUM(F29:F43)</f>
        <v>2500</v>
      </c>
      <c r="G28" s="72">
        <f t="shared" si="10"/>
        <v>12000</v>
      </c>
      <c r="H28" s="72">
        <f t="shared" si="10"/>
        <v>38007.279999999999</v>
      </c>
      <c r="I28" s="72">
        <f>SUM(I29:I43)</f>
        <v>47833</v>
      </c>
      <c r="J28" s="72">
        <f t="shared" si="10"/>
        <v>7900</v>
      </c>
      <c r="K28" s="72">
        <f t="shared" si="10"/>
        <v>66549</v>
      </c>
      <c r="L28" s="72">
        <f t="shared" si="10"/>
        <v>8000</v>
      </c>
      <c r="M28" s="72">
        <f t="shared" si="10"/>
        <v>81044.5</v>
      </c>
      <c r="N28" s="72">
        <f t="shared" si="10"/>
        <v>25796.63</v>
      </c>
      <c r="O28" s="72">
        <f t="shared" si="10"/>
        <v>7900</v>
      </c>
      <c r="P28" s="72">
        <f t="shared" si="10"/>
        <v>27108</v>
      </c>
      <c r="Q28" s="72">
        <f t="shared" si="10"/>
        <v>46867</v>
      </c>
      <c r="R28" s="72">
        <f t="shared" si="10"/>
        <v>77664</v>
      </c>
      <c r="S28" s="111">
        <f t="shared" si="10"/>
        <v>21730</v>
      </c>
      <c r="T28" s="114">
        <f t="shared" si="9"/>
        <v>468399.41</v>
      </c>
      <c r="U28" s="115">
        <f t="shared" si="2"/>
        <v>-116099.40999999997</v>
      </c>
    </row>
    <row r="29" spans="1:21" s="55" customFormat="1" ht="12" outlineLevel="1">
      <c r="A29" s="31" t="s">
        <v>56</v>
      </c>
      <c r="B29" s="43" t="s">
        <v>163</v>
      </c>
      <c r="C29" s="44">
        <f>D29/D82</f>
        <v>1.0668373606443699E-2</v>
      </c>
      <c r="D29" s="208">
        <f t="shared" si="0"/>
        <v>266.66666666666669</v>
      </c>
      <c r="E29" s="47">
        <v>3200</v>
      </c>
      <c r="F29" s="112"/>
      <c r="G29" s="73"/>
      <c r="H29" s="73">
        <v>2060.2800000000002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112"/>
      <c r="T29" s="54">
        <f t="shared" si="9"/>
        <v>2060.2800000000002</v>
      </c>
      <c r="U29" s="54">
        <f t="shared" si="2"/>
        <v>1139.7199999999998</v>
      </c>
    </row>
    <row r="30" spans="1:21" s="55" customFormat="1" ht="12" outlineLevel="1">
      <c r="A30" s="31" t="s">
        <v>57</v>
      </c>
      <c r="B30" s="77" t="s">
        <v>200</v>
      </c>
      <c r="C30" s="44">
        <f>D30/D82</f>
        <v>0.13002080332853255</v>
      </c>
      <c r="D30" s="208">
        <f t="shared" si="0"/>
        <v>3250</v>
      </c>
      <c r="E30" s="47">
        <v>39000</v>
      </c>
      <c r="F30" s="112"/>
      <c r="G30" s="73">
        <v>3000</v>
      </c>
      <c r="H30" s="73">
        <v>3000</v>
      </c>
      <c r="I30" s="73">
        <f>3000+9900</f>
        <v>12900</v>
      </c>
      <c r="J30" s="73">
        <v>3000</v>
      </c>
      <c r="K30" s="73">
        <v>3000</v>
      </c>
      <c r="L30" s="73">
        <v>3000</v>
      </c>
      <c r="M30" s="73">
        <v>3000</v>
      </c>
      <c r="N30" s="73">
        <v>3000</v>
      </c>
      <c r="O30" s="73">
        <v>3000</v>
      </c>
      <c r="P30" s="73">
        <v>3000</v>
      </c>
      <c r="Q30" s="73">
        <v>3000</v>
      </c>
      <c r="R30" s="73">
        <f>3000+3000</f>
        <v>6000</v>
      </c>
      <c r="S30" s="112">
        <v>3000</v>
      </c>
      <c r="T30" s="135">
        <f t="shared" si="9"/>
        <v>51900</v>
      </c>
      <c r="U30" s="135">
        <f t="shared" si="2"/>
        <v>-12900</v>
      </c>
    </row>
    <row r="31" spans="1:21" s="55" customFormat="1" ht="12" outlineLevel="1">
      <c r="A31" s="31" t="s">
        <v>58</v>
      </c>
      <c r="B31" s="78" t="s">
        <v>208</v>
      </c>
      <c r="C31" s="44">
        <f>D31/D82</f>
        <v>0.10001600256040967</v>
      </c>
      <c r="D31" s="208">
        <f t="shared" si="0"/>
        <v>2500</v>
      </c>
      <c r="E31" s="47">
        <v>30000</v>
      </c>
      <c r="F31" s="112">
        <v>2500</v>
      </c>
      <c r="G31" s="73"/>
      <c r="H31" s="73"/>
      <c r="I31" s="73">
        <v>2500</v>
      </c>
      <c r="J31" s="73">
        <v>2500</v>
      </c>
      <c r="K31" s="73">
        <v>2500</v>
      </c>
      <c r="L31" s="73">
        <f>2500+2500</f>
        <v>5000</v>
      </c>
      <c r="M31" s="73">
        <v>2500</v>
      </c>
      <c r="N31" s="73">
        <v>2500</v>
      </c>
      <c r="O31" s="73">
        <v>2500</v>
      </c>
      <c r="P31" s="73">
        <v>2500</v>
      </c>
      <c r="Q31" s="73">
        <v>2500</v>
      </c>
      <c r="R31" s="73">
        <v>2500</v>
      </c>
      <c r="S31" s="112">
        <v>2500</v>
      </c>
      <c r="T31" s="54">
        <f t="shared" si="9"/>
        <v>30000</v>
      </c>
      <c r="U31" s="54">
        <f t="shared" si="2"/>
        <v>0</v>
      </c>
    </row>
    <row r="32" spans="1:21" s="55" customFormat="1" ht="12" outlineLevel="1">
      <c r="A32" s="31" t="s">
        <v>73</v>
      </c>
      <c r="B32" s="43" t="s">
        <v>209</v>
      </c>
      <c r="C32" s="44">
        <f>D32/D82</f>
        <v>2.6670934016109243E-2</v>
      </c>
      <c r="D32" s="208">
        <f t="shared" si="0"/>
        <v>666.66666666666663</v>
      </c>
      <c r="E32" s="47">
        <v>8000</v>
      </c>
      <c r="F32" s="128"/>
      <c r="G32" s="73"/>
      <c r="H32" s="73"/>
      <c r="I32" s="73"/>
      <c r="J32" s="73"/>
      <c r="K32" s="73"/>
      <c r="L32" s="125"/>
      <c r="M32" s="73"/>
      <c r="N32" s="73"/>
      <c r="O32" s="73"/>
      <c r="P32" s="73"/>
      <c r="Q32" s="73"/>
      <c r="R32" s="73">
        <v>15958</v>
      </c>
      <c r="S32" s="112"/>
      <c r="T32" s="54">
        <f t="shared" si="9"/>
        <v>15958</v>
      </c>
      <c r="U32" s="54">
        <f t="shared" si="2"/>
        <v>-7958</v>
      </c>
    </row>
    <row r="33" spans="1:21" s="55" customFormat="1" ht="12" outlineLevel="1">
      <c r="A33" s="31" t="s">
        <v>75</v>
      </c>
      <c r="B33" s="43" t="s">
        <v>198</v>
      </c>
      <c r="C33" s="44">
        <f>D33/D82</f>
        <v>3.2005120819331094E-2</v>
      </c>
      <c r="D33" s="208">
        <f t="shared" si="0"/>
        <v>800</v>
      </c>
      <c r="E33" s="47">
        <v>9600</v>
      </c>
      <c r="F33" s="128"/>
      <c r="G33" s="73"/>
      <c r="H33" s="73"/>
      <c r="I33" s="73"/>
      <c r="J33" s="73">
        <v>2400</v>
      </c>
      <c r="K33" s="73"/>
      <c r="L33" s="73"/>
      <c r="M33" s="73"/>
      <c r="N33" s="73">
        <v>2400</v>
      </c>
      <c r="O33" s="73"/>
      <c r="P33" s="73">
        <v>2400</v>
      </c>
      <c r="Q33" s="73"/>
      <c r="R33" s="73"/>
      <c r="S33" s="112">
        <v>2400</v>
      </c>
      <c r="T33" s="135">
        <f t="shared" si="9"/>
        <v>9600</v>
      </c>
      <c r="U33" s="135">
        <f t="shared" si="2"/>
        <v>0</v>
      </c>
    </row>
    <row r="34" spans="1:21" s="55" customFormat="1" ht="12" outlineLevel="1">
      <c r="A34" s="31" t="s">
        <v>79</v>
      </c>
      <c r="B34" s="43" t="s">
        <v>100</v>
      </c>
      <c r="C34" s="44">
        <f>D34/D82</f>
        <v>1.0001600256040967E-2</v>
      </c>
      <c r="D34" s="208">
        <f t="shared" si="0"/>
        <v>250</v>
      </c>
      <c r="E34" s="47">
        <v>3000</v>
      </c>
      <c r="F34" s="128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12"/>
      <c r="T34" s="135">
        <f t="shared" si="9"/>
        <v>0</v>
      </c>
      <c r="U34" s="135">
        <f t="shared" si="2"/>
        <v>3000</v>
      </c>
    </row>
    <row r="35" spans="1:21" s="55" customFormat="1" ht="12" outlineLevel="1">
      <c r="A35" s="31" t="s">
        <v>82</v>
      </c>
      <c r="B35" s="43" t="s">
        <v>201</v>
      </c>
      <c r="C35" s="44">
        <f>D35/D82</f>
        <v>8.3346668800341386E-3</v>
      </c>
      <c r="D35" s="208">
        <f t="shared" si="0"/>
        <v>208.33333333333334</v>
      </c>
      <c r="E35" s="47">
        <v>2500</v>
      </c>
      <c r="F35" s="128"/>
      <c r="G35" s="73"/>
      <c r="H35" s="73"/>
      <c r="I35" s="73"/>
      <c r="J35" s="73"/>
      <c r="K35" s="73"/>
      <c r="L35" s="73"/>
      <c r="M35" s="73">
        <v>440</v>
      </c>
      <c r="N35" s="73">
        <v>1334.63</v>
      </c>
      <c r="O35" s="73"/>
      <c r="P35" s="73"/>
      <c r="Q35" s="73"/>
      <c r="R35" s="73"/>
      <c r="S35" s="112"/>
      <c r="T35" s="135">
        <f t="shared" si="9"/>
        <v>1774.63</v>
      </c>
      <c r="U35" s="135">
        <f t="shared" si="2"/>
        <v>725.36999999999989</v>
      </c>
    </row>
    <row r="36" spans="1:21" s="55" customFormat="1" ht="12" outlineLevel="1">
      <c r="A36" s="31" t="s">
        <v>103</v>
      </c>
      <c r="B36" s="43" t="s">
        <v>202</v>
      </c>
      <c r="C36" s="44">
        <f>D36/D82</f>
        <v>2.6670934016109243E-2</v>
      </c>
      <c r="D36" s="208">
        <f t="shared" si="0"/>
        <v>666.66666666666663</v>
      </c>
      <c r="E36" s="47">
        <v>8000</v>
      </c>
      <c r="F36" s="128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12"/>
      <c r="T36" s="135">
        <f t="shared" si="9"/>
        <v>0</v>
      </c>
      <c r="U36" s="135">
        <f t="shared" si="2"/>
        <v>8000</v>
      </c>
    </row>
    <row r="37" spans="1:21" s="55" customFormat="1" ht="12" outlineLevel="1">
      <c r="A37" s="31" t="s">
        <v>138</v>
      </c>
      <c r="B37" s="43" t="s">
        <v>204</v>
      </c>
      <c r="C37" s="44">
        <f>D37/D82</f>
        <v>2.6670934016109243E-2</v>
      </c>
      <c r="D37" s="208">
        <f t="shared" si="0"/>
        <v>666.66666666666663</v>
      </c>
      <c r="E37" s="47">
        <v>8000</v>
      </c>
      <c r="F37" s="128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112"/>
      <c r="T37" s="135">
        <f t="shared" si="9"/>
        <v>0</v>
      </c>
      <c r="U37" s="135">
        <f t="shared" si="2"/>
        <v>8000</v>
      </c>
    </row>
    <row r="38" spans="1:21" s="55" customFormat="1" ht="12" outlineLevel="1">
      <c r="A38" s="31" t="s">
        <v>139</v>
      </c>
      <c r="B38" s="43" t="s">
        <v>203</v>
      </c>
      <c r="C38" s="44">
        <f>D38/D82</f>
        <v>0.50008001280204828</v>
      </c>
      <c r="D38" s="208">
        <f t="shared" si="0"/>
        <v>12500</v>
      </c>
      <c r="E38" s="47">
        <v>150000</v>
      </c>
      <c r="F38" s="112"/>
      <c r="G38" s="73">
        <v>9000</v>
      </c>
      <c r="H38" s="73">
        <v>15958</v>
      </c>
      <c r="I38" s="73">
        <f>8511+10639+6383+6900</f>
        <v>32433</v>
      </c>
      <c r="J38" s="73"/>
      <c r="K38" s="73">
        <f>16490+11703+29256</f>
        <v>57449</v>
      </c>
      <c r="L38" s="73"/>
      <c r="M38" s="73">
        <f>9043+15500+6383</f>
        <v>30926</v>
      </c>
      <c r="N38" s="73">
        <v>10107</v>
      </c>
      <c r="O38" s="73"/>
      <c r="P38" s="73">
        <v>15958</v>
      </c>
      <c r="Q38" s="73">
        <f>17554+20213</f>
        <v>37767</v>
      </c>
      <c r="R38" s="73">
        <f>24469+23937</f>
        <v>48406</v>
      </c>
      <c r="S38" s="112">
        <v>13830</v>
      </c>
      <c r="T38" s="135">
        <f t="shared" si="9"/>
        <v>271834</v>
      </c>
      <c r="U38" s="135">
        <f t="shared" si="2"/>
        <v>-121834</v>
      </c>
    </row>
    <row r="39" spans="1:21" s="55" customFormat="1" ht="12" outlineLevel="1">
      <c r="A39" s="31" t="s">
        <v>140</v>
      </c>
      <c r="B39" s="68" t="s">
        <v>199</v>
      </c>
      <c r="C39" s="44">
        <f>D39/D82</f>
        <v>0.10001600256040967</v>
      </c>
      <c r="D39" s="208">
        <f t="shared" si="0"/>
        <v>2500</v>
      </c>
      <c r="E39" s="47">
        <v>30000</v>
      </c>
      <c r="F39" s="112"/>
      <c r="G39" s="73"/>
      <c r="H39" s="73">
        <v>8477</v>
      </c>
      <c r="I39" s="73"/>
      <c r="J39" s="73"/>
      <c r="K39" s="73">
        <v>3600</v>
      </c>
      <c r="L39" s="73"/>
      <c r="M39" s="73">
        <v>2400</v>
      </c>
      <c r="N39" s="73">
        <v>4795</v>
      </c>
      <c r="O39" s="73">
        <v>2400</v>
      </c>
      <c r="P39" s="73">
        <v>3250</v>
      </c>
      <c r="Q39" s="73">
        <v>3600</v>
      </c>
      <c r="R39" s="73">
        <f>1500+3300</f>
        <v>4800</v>
      </c>
      <c r="S39" s="112"/>
      <c r="T39" s="135">
        <f t="shared" si="9"/>
        <v>33322</v>
      </c>
      <c r="U39" s="135">
        <f t="shared" si="2"/>
        <v>-3322</v>
      </c>
    </row>
    <row r="40" spans="1:21" s="55" customFormat="1" ht="12" outlineLevel="1">
      <c r="A40" s="31" t="s">
        <v>141</v>
      </c>
      <c r="B40" s="43" t="s">
        <v>205</v>
      </c>
      <c r="C40" s="168">
        <f>D40/D82</f>
        <v>4.334026777617752E-2</v>
      </c>
      <c r="D40" s="208">
        <f t="shared" si="0"/>
        <v>1083.3333333333333</v>
      </c>
      <c r="E40" s="47">
        <v>13000</v>
      </c>
      <c r="F40" s="127"/>
      <c r="G40" s="97"/>
      <c r="H40" s="97"/>
      <c r="I40" s="97"/>
      <c r="J40" s="97"/>
      <c r="K40" s="97"/>
      <c r="L40" s="97"/>
      <c r="M40" s="97">
        <v>14520</v>
      </c>
      <c r="N40" s="97"/>
      <c r="O40" s="97"/>
      <c r="P40" s="97"/>
      <c r="Q40" s="97"/>
      <c r="R40" s="97"/>
      <c r="S40" s="127"/>
      <c r="T40" s="135">
        <f t="shared" si="9"/>
        <v>14520</v>
      </c>
      <c r="U40" s="135">
        <f t="shared" si="2"/>
        <v>-1520</v>
      </c>
    </row>
    <row r="41" spans="1:21" s="55" customFormat="1" ht="12" outlineLevel="1">
      <c r="A41" s="31" t="s">
        <v>142</v>
      </c>
      <c r="B41" s="169" t="s">
        <v>218</v>
      </c>
      <c r="C41" s="141">
        <f>D41/D82</f>
        <v>9.3348269056382355E-2</v>
      </c>
      <c r="D41" s="213">
        <f t="shared" si="0"/>
        <v>2333.3333333333335</v>
      </c>
      <c r="E41" s="47">
        <v>28000</v>
      </c>
      <c r="F41" s="127"/>
      <c r="G41" s="97"/>
      <c r="H41" s="97"/>
      <c r="I41" s="97"/>
      <c r="J41" s="97"/>
      <c r="K41" s="97"/>
      <c r="L41" s="97"/>
      <c r="M41" s="97">
        <v>26000</v>
      </c>
      <c r="N41" s="97"/>
      <c r="O41" s="97"/>
      <c r="P41" s="97"/>
      <c r="Q41" s="97"/>
      <c r="R41" s="97"/>
      <c r="S41" s="127"/>
      <c r="T41" s="135">
        <f t="shared" si="9"/>
        <v>26000</v>
      </c>
      <c r="U41" s="135">
        <f t="shared" si="2"/>
        <v>2000</v>
      </c>
    </row>
    <row r="42" spans="1:21" s="55" customFormat="1" ht="12" outlineLevel="1">
      <c r="A42" s="31" t="s">
        <v>166</v>
      </c>
      <c r="B42" s="252" t="s">
        <v>168</v>
      </c>
      <c r="C42" s="141">
        <f>D42/D82</f>
        <v>3.3338667520136554E-2</v>
      </c>
      <c r="D42" s="213">
        <f t="shared" si="0"/>
        <v>833.33333333333337</v>
      </c>
      <c r="E42" s="47">
        <v>10000</v>
      </c>
      <c r="F42" s="127"/>
      <c r="G42" s="97"/>
      <c r="H42" s="97">
        <f>4256*2</f>
        <v>8512</v>
      </c>
      <c r="I42" s="97"/>
      <c r="J42" s="97"/>
      <c r="K42" s="97"/>
      <c r="L42" s="97"/>
      <c r="M42" s="97">
        <f>1258.5</f>
        <v>1258.5</v>
      </c>
      <c r="N42" s="97">
        <v>1660</v>
      </c>
      <c r="O42" s="97"/>
      <c r="P42" s="97"/>
      <c r="Q42" s="97"/>
      <c r="R42" s="97"/>
      <c r="S42" s="127"/>
      <c r="T42" s="135">
        <f t="shared" si="9"/>
        <v>11430.5</v>
      </c>
      <c r="U42" s="135">
        <f t="shared" si="2"/>
        <v>-1430.5</v>
      </c>
    </row>
    <row r="43" spans="1:21" s="55" customFormat="1" outlineLevel="1" thickBot="1">
      <c r="A43" s="31" t="s">
        <v>167</v>
      </c>
      <c r="B43" s="178" t="s">
        <v>169</v>
      </c>
      <c r="C43" s="170">
        <f>D43/D82</f>
        <v>3.3338667520136554E-2</v>
      </c>
      <c r="D43" s="208">
        <f t="shared" ref="D43:D80" si="11">E43/12</f>
        <v>833.33333333333337</v>
      </c>
      <c r="E43" s="47">
        <v>10000</v>
      </c>
      <c r="F43" s="128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112"/>
      <c r="T43" s="164">
        <f t="shared" si="9"/>
        <v>0</v>
      </c>
      <c r="U43" s="135">
        <f t="shared" si="2"/>
        <v>10000</v>
      </c>
    </row>
    <row r="44" spans="1:21">
      <c r="A44" s="27" t="s">
        <v>112</v>
      </c>
      <c r="B44" s="7" t="s">
        <v>102</v>
      </c>
      <c r="C44" s="37">
        <f>D44/D82</f>
        <v>1.1168453619245746</v>
      </c>
      <c r="D44" s="207">
        <f t="shared" si="11"/>
        <v>27916.666666666668</v>
      </c>
      <c r="E44" s="65">
        <f>SUM(E45:E51)</f>
        <v>335000</v>
      </c>
      <c r="F44" s="154">
        <f t="shared" ref="F44:S44" si="12">SUM(F45:F51)</f>
        <v>0</v>
      </c>
      <c r="G44" s="71">
        <f t="shared" si="12"/>
        <v>2098.1</v>
      </c>
      <c r="H44" s="71">
        <f t="shared" si="12"/>
        <v>111337.69</v>
      </c>
      <c r="I44" s="71">
        <f t="shared" si="12"/>
        <v>18297.91</v>
      </c>
      <c r="J44" s="71">
        <f t="shared" si="12"/>
        <v>4336.3999999999996</v>
      </c>
      <c r="K44" s="71">
        <f t="shared" si="12"/>
        <v>52324.9</v>
      </c>
      <c r="L44" s="71">
        <f t="shared" si="12"/>
        <v>19490.54</v>
      </c>
      <c r="M44" s="71">
        <f t="shared" si="12"/>
        <v>24188.959999999999</v>
      </c>
      <c r="N44" s="71">
        <f t="shared" si="12"/>
        <v>16583</v>
      </c>
      <c r="O44" s="71">
        <f t="shared" si="12"/>
        <v>26199.21</v>
      </c>
      <c r="P44" s="71">
        <f t="shared" si="12"/>
        <v>27305.84</v>
      </c>
      <c r="Q44" s="71">
        <f t="shared" si="12"/>
        <v>17253.43</v>
      </c>
      <c r="R44" s="71">
        <f t="shared" si="12"/>
        <v>63710.97</v>
      </c>
      <c r="S44" s="71">
        <f t="shared" si="12"/>
        <v>11670.86</v>
      </c>
      <c r="T44" s="165">
        <f t="shared" si="9"/>
        <v>394797.81000000006</v>
      </c>
      <c r="U44" s="166">
        <f t="shared" si="2"/>
        <v>-59797.810000000056</v>
      </c>
    </row>
    <row r="45" spans="1:21" s="55" customFormat="1" ht="12" outlineLevel="1">
      <c r="A45" s="31" t="s">
        <v>59</v>
      </c>
      <c r="B45" s="43" t="s">
        <v>80</v>
      </c>
      <c r="C45" s="44">
        <f>D45/D82</f>
        <v>0.16002560409665548</v>
      </c>
      <c r="D45" s="208">
        <f t="shared" si="11"/>
        <v>4000</v>
      </c>
      <c r="E45" s="47">
        <v>48000</v>
      </c>
      <c r="F45" s="128"/>
      <c r="G45" s="73"/>
      <c r="H45" s="73"/>
      <c r="I45" s="73">
        <v>4880.2</v>
      </c>
      <c r="J45" s="73"/>
      <c r="K45" s="73"/>
      <c r="L45" s="159">
        <v>6538</v>
      </c>
      <c r="M45" s="73">
        <f>5056.2+2650+387</f>
        <v>8093.2</v>
      </c>
      <c r="N45" s="73">
        <f>55</f>
        <v>55</v>
      </c>
      <c r="O45" s="73">
        <f>829.45+388+1508.86</f>
        <v>2726.31</v>
      </c>
      <c r="P45" s="73">
        <f>768</f>
        <v>768</v>
      </c>
      <c r="Q45" s="73">
        <f>1400+146+2145</f>
        <v>3691</v>
      </c>
      <c r="R45" s="73"/>
      <c r="S45" s="112"/>
      <c r="T45" s="135">
        <f t="shared" si="9"/>
        <v>26751.710000000003</v>
      </c>
      <c r="U45" s="135">
        <f t="shared" si="2"/>
        <v>21248.289999999997</v>
      </c>
    </row>
    <row r="46" spans="1:21" s="55" customFormat="1" ht="12" outlineLevel="1">
      <c r="A46" s="31" t="s">
        <v>60</v>
      </c>
      <c r="B46" s="43" t="s">
        <v>217</v>
      </c>
      <c r="C46" s="44">
        <f>D46/D82</f>
        <v>0.33338667520136556</v>
      </c>
      <c r="D46" s="208">
        <f t="shared" si="11"/>
        <v>8333.3333333333339</v>
      </c>
      <c r="E46" s="47">
        <v>100000</v>
      </c>
      <c r="F46" s="112"/>
      <c r="G46" s="73"/>
      <c r="H46" s="73">
        <f>66300+6660</f>
        <v>72960</v>
      </c>
      <c r="I46" s="89"/>
      <c r="J46" s="73"/>
      <c r="K46" s="89"/>
      <c r="L46" s="73"/>
      <c r="M46" s="89">
        <v>63</v>
      </c>
      <c r="N46" s="73">
        <f>3656+300</f>
        <v>3956</v>
      </c>
      <c r="O46" s="89">
        <f>2856.74-1493.41+1723</f>
        <v>3086.33</v>
      </c>
      <c r="P46" s="73">
        <f>1295+2900+7000</f>
        <v>11195</v>
      </c>
      <c r="Q46" s="89">
        <f>387+1990</f>
        <v>2377</v>
      </c>
      <c r="R46" s="73">
        <f>7700+987</f>
        <v>8687</v>
      </c>
      <c r="S46" s="112"/>
      <c r="T46" s="135">
        <f t="shared" si="9"/>
        <v>102324.33</v>
      </c>
      <c r="U46" s="135">
        <f t="shared" si="2"/>
        <v>-2324.3300000000017</v>
      </c>
    </row>
    <row r="47" spans="1:21" s="55" customFormat="1" ht="12" outlineLevel="1">
      <c r="A47" s="31" t="s">
        <v>61</v>
      </c>
      <c r="B47" s="43" t="s">
        <v>77</v>
      </c>
      <c r="C47" s="44">
        <f>D47/D82</f>
        <v>1.6669333760068277E-2</v>
      </c>
      <c r="D47" s="208">
        <f t="shared" si="11"/>
        <v>416.66666666666669</v>
      </c>
      <c r="E47" s="47">
        <v>5000</v>
      </c>
      <c r="F47" s="128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12"/>
      <c r="T47" s="135">
        <f t="shared" si="9"/>
        <v>0</v>
      </c>
      <c r="U47" s="135">
        <f t="shared" si="2"/>
        <v>5000</v>
      </c>
    </row>
    <row r="48" spans="1:21" s="55" customFormat="1" ht="12" outlineLevel="1">
      <c r="A48" s="31" t="s">
        <v>62</v>
      </c>
      <c r="B48" s="43" t="s">
        <v>25</v>
      </c>
      <c r="C48" s="44">
        <f>D48/D82</f>
        <v>3.3338667520136554E-2</v>
      </c>
      <c r="D48" s="208">
        <f t="shared" si="11"/>
        <v>833.33333333333337</v>
      </c>
      <c r="E48" s="47">
        <v>10000</v>
      </c>
      <c r="F48" s="128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112"/>
      <c r="T48" s="135">
        <f t="shared" si="9"/>
        <v>0</v>
      </c>
      <c r="U48" s="135">
        <f t="shared" si="2"/>
        <v>10000</v>
      </c>
    </row>
    <row r="49" spans="1:21" s="55" customFormat="1" ht="12" outlineLevel="1">
      <c r="A49" s="31" t="s">
        <v>63</v>
      </c>
      <c r="B49" s="68" t="s">
        <v>76</v>
      </c>
      <c r="C49" s="44">
        <f>D49/D82</f>
        <v>1.3335467008054621E-2</v>
      </c>
      <c r="D49" s="208">
        <f t="shared" si="11"/>
        <v>333.33333333333331</v>
      </c>
      <c r="E49" s="47">
        <v>4000</v>
      </c>
      <c r="F49" s="128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>
        <v>30500</v>
      </c>
      <c r="S49" s="112"/>
      <c r="T49" s="135">
        <f t="shared" si="9"/>
        <v>30500</v>
      </c>
      <c r="U49" s="135">
        <f t="shared" si="2"/>
        <v>-26500</v>
      </c>
    </row>
    <row r="50" spans="1:21" s="55" customFormat="1" ht="12" outlineLevel="1">
      <c r="A50" s="31" t="s">
        <v>64</v>
      </c>
      <c r="B50" s="251" t="s">
        <v>164</v>
      </c>
      <c r="C50" s="44">
        <f>D50/D82</f>
        <v>0.53341868032218487</v>
      </c>
      <c r="D50" s="208">
        <f>E50/12</f>
        <v>13333.333333333334</v>
      </c>
      <c r="E50" s="47">
        <v>160000</v>
      </c>
      <c r="F50" s="140"/>
      <c r="G50" s="73">
        <f>2098.1</f>
        <v>2098.1</v>
      </c>
      <c r="H50" s="73">
        <f>11793.31+18627.76+4640.82+3315.8</f>
        <v>38377.69</v>
      </c>
      <c r="I50" s="73">
        <f>4166.16+9251.55</f>
        <v>13417.71</v>
      </c>
      <c r="J50" s="73">
        <f>4336.4</f>
        <v>4336.3999999999996</v>
      </c>
      <c r="K50" s="73">
        <f>6309.03+8697.6+25662.34+7245.93+4410</f>
        <v>52324.9</v>
      </c>
      <c r="L50" s="73">
        <f>2947.54+7005</f>
        <v>9952.5400000000009</v>
      </c>
      <c r="M50" s="73">
        <f>5355.24+3470.52+5160+2047</f>
        <v>16032.76</v>
      </c>
      <c r="N50" s="73">
        <f>5428+4244+2900</f>
        <v>12572</v>
      </c>
      <c r="O50" s="97">
        <f>4979.46+12613.11+2312+482</f>
        <v>20386.57</v>
      </c>
      <c r="P50" s="73">
        <f>2290.5+5439.51+7297.83+315</f>
        <v>15342.84</v>
      </c>
      <c r="Q50" s="97">
        <f>6883.43+395+629+2460+318+500</f>
        <v>11185.43</v>
      </c>
      <c r="R50" s="73">
        <f>3954+10624.74+6585.23</f>
        <v>21163.97</v>
      </c>
      <c r="S50" s="140">
        <v>11670.86</v>
      </c>
      <c r="T50" s="135">
        <f t="shared" si="9"/>
        <v>228861.77000000002</v>
      </c>
      <c r="U50" s="135">
        <f t="shared" si="2"/>
        <v>-68861.770000000019</v>
      </c>
    </row>
    <row r="51" spans="1:21" s="55" customFormat="1" outlineLevel="1" thickBot="1">
      <c r="A51" s="175" t="s">
        <v>65</v>
      </c>
      <c r="B51" s="176" t="s">
        <v>85</v>
      </c>
      <c r="C51" s="168">
        <f>D51/D82</f>
        <v>2.6670934016109243E-2</v>
      </c>
      <c r="D51" s="214">
        <f>E51/12</f>
        <v>666.66666666666663</v>
      </c>
      <c r="E51" s="84">
        <v>8000</v>
      </c>
      <c r="F51" s="128"/>
      <c r="G51" s="73"/>
      <c r="H51" s="73"/>
      <c r="I51" s="73"/>
      <c r="J51" s="73"/>
      <c r="K51" s="73"/>
      <c r="L51" s="73">
        <v>3000</v>
      </c>
      <c r="M51" s="73"/>
      <c r="N51" s="73"/>
      <c r="O51" s="73"/>
      <c r="P51" s="73"/>
      <c r="Q51" s="73"/>
      <c r="R51" s="73">
        <v>3360</v>
      </c>
      <c r="S51" s="112"/>
      <c r="T51" s="135">
        <f t="shared" si="9"/>
        <v>6360</v>
      </c>
      <c r="U51" s="135">
        <f t="shared" si="2"/>
        <v>1640</v>
      </c>
    </row>
    <row r="52" spans="1:21">
      <c r="A52" s="27" t="s">
        <v>113</v>
      </c>
      <c r="B52" s="171" t="s">
        <v>127</v>
      </c>
      <c r="C52" s="177">
        <f>D52/D82</f>
        <v>3.6852563076758948</v>
      </c>
      <c r="D52" s="215">
        <f t="shared" si="11"/>
        <v>92116.666666666672</v>
      </c>
      <c r="E52" s="240">
        <f t="shared" ref="E52:S52" si="13">SUM(E53:E68)</f>
        <v>1105400</v>
      </c>
      <c r="F52" s="88">
        <f t="shared" si="13"/>
        <v>700</v>
      </c>
      <c r="G52" s="88">
        <f t="shared" si="13"/>
        <v>0</v>
      </c>
      <c r="H52" s="71">
        <f t="shared" si="13"/>
        <v>32867</v>
      </c>
      <c r="I52" s="71">
        <f t="shared" si="13"/>
        <v>1600</v>
      </c>
      <c r="J52" s="71">
        <f t="shared" si="13"/>
        <v>7205</v>
      </c>
      <c r="K52" s="88">
        <f t="shared" si="13"/>
        <v>120700</v>
      </c>
      <c r="L52" s="71">
        <f t="shared" si="13"/>
        <v>168322</v>
      </c>
      <c r="M52" s="71">
        <f t="shared" si="13"/>
        <v>167240</v>
      </c>
      <c r="N52" s="71">
        <f t="shared" si="13"/>
        <v>190613</v>
      </c>
      <c r="O52" s="88">
        <f>SUM(O53:O68)</f>
        <v>37657</v>
      </c>
      <c r="P52" s="71">
        <f t="shared" si="13"/>
        <v>36690</v>
      </c>
      <c r="Q52" s="71">
        <f t="shared" si="13"/>
        <v>7843</v>
      </c>
      <c r="R52" s="71">
        <f t="shared" si="13"/>
        <v>14727</v>
      </c>
      <c r="S52" s="113">
        <f t="shared" si="13"/>
        <v>1400</v>
      </c>
      <c r="T52" s="166">
        <f t="shared" si="9"/>
        <v>786864</v>
      </c>
      <c r="U52" s="166">
        <f t="shared" si="2"/>
        <v>318536</v>
      </c>
    </row>
    <row r="53" spans="1:21" s="55" customFormat="1" ht="12" outlineLevel="1">
      <c r="A53" s="31" t="s">
        <v>143</v>
      </c>
      <c r="B53" s="253" t="s">
        <v>95</v>
      </c>
      <c r="C53" s="141">
        <f>D53/D82</f>
        <v>6.6677335040273109E-2</v>
      </c>
      <c r="D53" s="213">
        <f t="shared" si="11"/>
        <v>1666.6666666666667</v>
      </c>
      <c r="E53" s="241">
        <v>20000</v>
      </c>
      <c r="F53" s="89"/>
      <c r="G53" s="89"/>
      <c r="H53" s="73"/>
      <c r="I53" s="73"/>
      <c r="J53" s="73"/>
      <c r="K53" s="125"/>
      <c r="L53" s="73"/>
      <c r="M53" s="73"/>
      <c r="N53" s="73">
        <f>2444+3192+18190</f>
        <v>23826</v>
      </c>
      <c r="P53" s="73"/>
      <c r="Q53" s="73">
        <v>6383</v>
      </c>
      <c r="R53" s="73"/>
      <c r="S53" s="112"/>
      <c r="T53" s="135">
        <f t="shared" si="9"/>
        <v>30209</v>
      </c>
      <c r="U53" s="135">
        <f t="shared" si="2"/>
        <v>-10209</v>
      </c>
    </row>
    <row r="54" spans="1:21" s="55" customFormat="1" ht="12" outlineLevel="1">
      <c r="A54" s="31" t="s">
        <v>144</v>
      </c>
      <c r="B54" s="173" t="s">
        <v>207</v>
      </c>
      <c r="C54" s="141">
        <f>D54/D82</f>
        <v>0.40006401024163868</v>
      </c>
      <c r="D54" s="213">
        <f t="shared" si="11"/>
        <v>10000</v>
      </c>
      <c r="E54" s="241">
        <v>120000</v>
      </c>
      <c r="F54" s="89"/>
      <c r="G54" s="89"/>
      <c r="H54" s="73"/>
      <c r="I54" s="73"/>
      <c r="J54" s="73"/>
      <c r="K54" s="73"/>
      <c r="L54" s="73"/>
      <c r="M54" s="73"/>
      <c r="N54" s="73"/>
      <c r="O54" s="73">
        <f>20420</f>
        <v>20420</v>
      </c>
      <c r="P54" s="73">
        <v>20420</v>
      </c>
      <c r="Q54" s="73"/>
      <c r="R54" s="73"/>
      <c r="S54" s="112"/>
      <c r="T54" s="135">
        <f t="shared" si="9"/>
        <v>40840</v>
      </c>
      <c r="U54" s="135">
        <f t="shared" si="2"/>
        <v>79160</v>
      </c>
    </row>
    <row r="55" spans="1:21" s="55" customFormat="1" ht="12" outlineLevel="1">
      <c r="A55" s="31" t="s">
        <v>145</v>
      </c>
      <c r="B55" s="172" t="s">
        <v>210</v>
      </c>
      <c r="C55" s="141">
        <f>D55/D82</f>
        <v>2.6670934016109243E-2</v>
      </c>
      <c r="D55" s="213">
        <f t="shared" si="11"/>
        <v>666.66666666666663</v>
      </c>
      <c r="E55" s="241">
        <v>8000</v>
      </c>
      <c r="F55" s="89"/>
      <c r="G55" s="8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112"/>
      <c r="T55" s="135">
        <f t="shared" si="9"/>
        <v>0</v>
      </c>
      <c r="U55" s="135">
        <f t="shared" si="2"/>
        <v>8000</v>
      </c>
    </row>
    <row r="56" spans="1:21" s="55" customFormat="1" ht="12" outlineLevel="1">
      <c r="A56" s="31" t="s">
        <v>146</v>
      </c>
      <c r="B56" s="172" t="s">
        <v>211</v>
      </c>
      <c r="C56" s="141">
        <f>D56/D82</f>
        <v>8.3346668800341389E-2</v>
      </c>
      <c r="D56" s="213">
        <f t="shared" si="11"/>
        <v>2083.3333333333335</v>
      </c>
      <c r="E56" s="241">
        <v>25000</v>
      </c>
      <c r="F56" s="89"/>
      <c r="G56" s="89"/>
      <c r="H56" s="73"/>
      <c r="I56" s="73"/>
      <c r="J56" s="73"/>
      <c r="K56" s="73"/>
      <c r="L56" s="73">
        <f>17022</f>
        <v>17022</v>
      </c>
      <c r="M56" s="73"/>
      <c r="N56" s="73">
        <v>5107</v>
      </c>
      <c r="O56" s="73"/>
      <c r="P56" s="73"/>
      <c r="Q56" s="73"/>
      <c r="R56" s="73"/>
      <c r="S56" s="112"/>
      <c r="T56" s="135">
        <f t="shared" si="9"/>
        <v>22129</v>
      </c>
      <c r="U56" s="135">
        <f t="shared" si="2"/>
        <v>2871</v>
      </c>
    </row>
    <row r="57" spans="1:21" s="55" customFormat="1" ht="12" outlineLevel="1">
      <c r="A57" s="31" t="s">
        <v>147</v>
      </c>
      <c r="B57" s="173" t="s">
        <v>212</v>
      </c>
      <c r="C57" s="141">
        <f>D57/D82</f>
        <v>3.3338667520136554E-2</v>
      </c>
      <c r="D57" s="213">
        <f t="shared" si="11"/>
        <v>833.33333333333337</v>
      </c>
      <c r="E57" s="241">
        <v>10000</v>
      </c>
      <c r="F57" s="89"/>
      <c r="G57" s="8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112"/>
      <c r="T57" s="135">
        <f t="shared" si="9"/>
        <v>0</v>
      </c>
      <c r="U57" s="135">
        <f t="shared" si="2"/>
        <v>10000</v>
      </c>
    </row>
    <row r="58" spans="1:21" s="55" customFormat="1" ht="12" outlineLevel="1">
      <c r="A58" s="31" t="s">
        <v>148</v>
      </c>
      <c r="B58" s="136" t="s">
        <v>197</v>
      </c>
      <c r="C58" s="141">
        <f>D58/D82</f>
        <v>0.50008001280204828</v>
      </c>
      <c r="D58" s="213">
        <f t="shared" si="11"/>
        <v>12500</v>
      </c>
      <c r="E58" s="241">
        <v>150000</v>
      </c>
      <c r="F58" s="89"/>
      <c r="G58" s="89"/>
      <c r="H58" s="73">
        <v>32867</v>
      </c>
      <c r="I58" s="73"/>
      <c r="J58" s="73"/>
      <c r="K58" s="73"/>
      <c r="L58" s="73"/>
      <c r="M58" s="73"/>
      <c r="N58" s="73">
        <v>94680</v>
      </c>
      <c r="O58" s="73"/>
      <c r="P58" s="73"/>
      <c r="Q58" s="73"/>
      <c r="R58" s="73"/>
      <c r="S58" s="112"/>
      <c r="T58" s="135">
        <f t="shared" si="9"/>
        <v>127547</v>
      </c>
      <c r="U58" s="135">
        <f t="shared" si="2"/>
        <v>22453</v>
      </c>
    </row>
    <row r="59" spans="1:21" s="55" customFormat="1" ht="12" outlineLevel="1">
      <c r="A59" s="31" t="s">
        <v>149</v>
      </c>
      <c r="B59" s="172" t="s">
        <v>213</v>
      </c>
      <c r="C59" s="141">
        <f>D59/D82</f>
        <v>1.3335467008054621E-2</v>
      </c>
      <c r="D59" s="213">
        <f t="shared" si="11"/>
        <v>333.33333333333331</v>
      </c>
      <c r="E59" s="241">
        <v>4000</v>
      </c>
      <c r="F59" s="89"/>
      <c r="G59" s="8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>
        <v>4256</v>
      </c>
      <c r="S59" s="112"/>
      <c r="T59" s="135">
        <f t="shared" si="9"/>
        <v>4256</v>
      </c>
      <c r="U59" s="135">
        <f t="shared" si="2"/>
        <v>-256</v>
      </c>
    </row>
    <row r="60" spans="1:21" s="55" customFormat="1" ht="12" outlineLevel="1">
      <c r="A60" s="31" t="s">
        <v>150</v>
      </c>
      <c r="B60" s="173" t="s">
        <v>214</v>
      </c>
      <c r="C60" s="141">
        <f>D60/D82</f>
        <v>2.8004480716914706E-2</v>
      </c>
      <c r="D60" s="213">
        <f t="shared" si="11"/>
        <v>700</v>
      </c>
      <c r="E60" s="241">
        <v>8400</v>
      </c>
      <c r="F60" s="89">
        <v>700</v>
      </c>
      <c r="G60" s="89"/>
      <c r="H60" s="73"/>
      <c r="I60" s="73">
        <v>700</v>
      </c>
      <c r="J60" s="73">
        <v>700</v>
      </c>
      <c r="K60" s="73">
        <v>700</v>
      </c>
      <c r="L60" s="73">
        <v>700</v>
      </c>
      <c r="M60" s="73">
        <v>700</v>
      </c>
      <c r="N60" s="73">
        <v>700</v>
      </c>
      <c r="O60" s="73">
        <v>700</v>
      </c>
      <c r="P60" s="73">
        <v>700</v>
      </c>
      <c r="Q60" s="73">
        <v>700</v>
      </c>
      <c r="R60" s="73">
        <v>700</v>
      </c>
      <c r="S60" s="112">
        <v>1400</v>
      </c>
      <c r="T60" s="135">
        <f t="shared" si="9"/>
        <v>8400</v>
      </c>
      <c r="U60" s="135">
        <f t="shared" si="2"/>
        <v>0</v>
      </c>
    </row>
    <row r="61" spans="1:21" s="55" customFormat="1" ht="12" outlineLevel="1">
      <c r="A61" s="31" t="s">
        <v>151</v>
      </c>
      <c r="B61" s="172" t="s">
        <v>196</v>
      </c>
      <c r="C61" s="141">
        <f>D61/D82</f>
        <v>0.14002240358457352</v>
      </c>
      <c r="D61" s="213">
        <f t="shared" si="11"/>
        <v>3500</v>
      </c>
      <c r="E61" s="241">
        <v>42000</v>
      </c>
      <c r="F61" s="89"/>
      <c r="G61" s="89"/>
      <c r="H61" s="73"/>
      <c r="I61" s="73"/>
      <c r="J61" s="73"/>
      <c r="K61" s="73"/>
      <c r="L61" s="73">
        <v>600</v>
      </c>
      <c r="M61" s="73"/>
      <c r="N61" s="125">
        <v>2800</v>
      </c>
      <c r="O61" s="73">
        <f>2900+6149</f>
        <v>9049</v>
      </c>
      <c r="P61" s="73">
        <f>2100+13470</f>
        <v>15570</v>
      </c>
      <c r="Q61" s="73">
        <v>760</v>
      </c>
      <c r="R61" s="73">
        <f>2215+3300</f>
        <v>5515</v>
      </c>
      <c r="S61" s="112"/>
      <c r="T61" s="135">
        <f t="shared" si="9"/>
        <v>34294</v>
      </c>
      <c r="U61" s="135">
        <f t="shared" si="2"/>
        <v>7706</v>
      </c>
    </row>
    <row r="62" spans="1:21" s="55" customFormat="1" ht="12" outlineLevel="1">
      <c r="A62" s="31" t="s">
        <v>152</v>
      </c>
      <c r="B62" s="172" t="s">
        <v>206</v>
      </c>
      <c r="C62" s="141">
        <f>D62/D82</f>
        <v>8.0012802048327739E-2</v>
      </c>
      <c r="D62" s="213">
        <f t="shared" si="11"/>
        <v>2000</v>
      </c>
      <c r="E62" s="241">
        <v>24000</v>
      </c>
      <c r="F62" s="89"/>
      <c r="G62" s="89"/>
      <c r="H62" s="73"/>
      <c r="I62" s="73"/>
      <c r="J62" s="73"/>
      <c r="K62" s="73"/>
      <c r="L62" s="73"/>
      <c r="M62" s="73">
        <v>16540</v>
      </c>
      <c r="N62" s="73"/>
      <c r="O62" s="73">
        <v>7488</v>
      </c>
      <c r="P62" s="73"/>
      <c r="Q62" s="73"/>
      <c r="R62" s="73"/>
      <c r="S62" s="112"/>
      <c r="T62" s="135">
        <f t="shared" si="9"/>
        <v>24028</v>
      </c>
      <c r="U62" s="135">
        <f t="shared" si="2"/>
        <v>-28</v>
      </c>
    </row>
    <row r="63" spans="1:21" s="55" customFormat="1" ht="12" outlineLevel="1">
      <c r="A63" s="31" t="s">
        <v>153</v>
      </c>
      <c r="B63" s="178" t="s">
        <v>215</v>
      </c>
      <c r="C63" s="141">
        <f>D63/D82</f>
        <v>2.0003200512081935E-2</v>
      </c>
      <c r="D63" s="216">
        <f t="shared" ref="D63:D67" si="14">E63/12</f>
        <v>500</v>
      </c>
      <c r="E63" s="242">
        <v>6000</v>
      </c>
      <c r="F63" s="89"/>
      <c r="G63" s="89"/>
      <c r="H63" s="73"/>
      <c r="I63" s="73"/>
      <c r="J63" s="73">
        <v>6505</v>
      </c>
      <c r="K63" s="73"/>
      <c r="L63" s="73"/>
      <c r="M63" s="73"/>
      <c r="N63" s="73"/>
      <c r="O63" s="73"/>
      <c r="P63" s="73"/>
      <c r="Q63" s="73"/>
      <c r="R63" s="73"/>
      <c r="S63" s="112"/>
      <c r="T63" s="135">
        <f t="shared" si="9"/>
        <v>6505</v>
      </c>
      <c r="U63" s="135">
        <f t="shared" si="2"/>
        <v>-505</v>
      </c>
    </row>
    <row r="64" spans="1:21" s="55" customFormat="1" ht="12" outlineLevel="1">
      <c r="A64" s="31" t="s">
        <v>154</v>
      </c>
      <c r="B64" s="174" t="s">
        <v>216</v>
      </c>
      <c r="C64" s="141">
        <f>D64/D82</f>
        <v>0.10001600256040967</v>
      </c>
      <c r="D64" s="216">
        <f t="shared" si="14"/>
        <v>2500</v>
      </c>
      <c r="E64" s="242">
        <v>30000</v>
      </c>
      <c r="F64" s="99"/>
      <c r="G64" s="99"/>
      <c r="H64" s="93"/>
      <c r="I64" s="73"/>
      <c r="J64" s="97"/>
      <c r="K64" s="97"/>
      <c r="L64" s="97"/>
      <c r="M64" s="97"/>
      <c r="N64" s="97">
        <v>13500</v>
      </c>
      <c r="O64" s="97"/>
      <c r="P64" s="97"/>
      <c r="Q64" s="97"/>
      <c r="R64" s="97"/>
      <c r="S64" s="127"/>
      <c r="T64" s="135">
        <f t="shared" si="9"/>
        <v>13500</v>
      </c>
      <c r="U64" s="135">
        <f t="shared" si="2"/>
        <v>16500</v>
      </c>
    </row>
    <row r="65" spans="1:21" s="55" customFormat="1" ht="12" outlineLevel="1">
      <c r="A65" s="31" t="s">
        <v>155</v>
      </c>
      <c r="B65" s="169" t="s">
        <v>24</v>
      </c>
      <c r="C65" s="141">
        <f>D65/D82</f>
        <v>1.3335467008054621E-2</v>
      </c>
      <c r="D65" s="217">
        <f t="shared" si="14"/>
        <v>333.33333333333331</v>
      </c>
      <c r="E65" s="243">
        <v>4000</v>
      </c>
      <c r="F65" s="89"/>
      <c r="G65" s="89"/>
      <c r="H65" s="125"/>
      <c r="I65" s="73">
        <v>900</v>
      </c>
      <c r="J65" s="73"/>
      <c r="K65" s="73"/>
      <c r="L65" s="73"/>
      <c r="M65" s="73"/>
      <c r="N65" s="73"/>
      <c r="O65" s="73"/>
      <c r="P65" s="73"/>
      <c r="Q65" s="73"/>
      <c r="R65" s="73">
        <v>4256</v>
      </c>
      <c r="S65" s="112"/>
      <c r="T65" s="135">
        <f t="shared" si="9"/>
        <v>5156</v>
      </c>
      <c r="U65" s="135">
        <f t="shared" si="2"/>
        <v>-1156</v>
      </c>
    </row>
    <row r="66" spans="1:21" s="55" customFormat="1" ht="12" outlineLevel="1">
      <c r="A66" s="175" t="s">
        <v>156</v>
      </c>
      <c r="B66" s="136" t="s">
        <v>192</v>
      </c>
      <c r="C66" s="238">
        <f>D66/D82</f>
        <v>2.0003200512081931</v>
      </c>
      <c r="D66" s="218">
        <f t="shared" si="14"/>
        <v>50000</v>
      </c>
      <c r="E66" s="237">
        <v>600000</v>
      </c>
      <c r="F66" s="89"/>
      <c r="G66" s="73"/>
      <c r="H66" s="73"/>
      <c r="I66" s="73"/>
      <c r="J66" s="73"/>
      <c r="K66" s="73">
        <f>120000</f>
        <v>120000</v>
      </c>
      <c r="L66" s="93">
        <f>50000+50000+50000</f>
        <v>150000</v>
      </c>
      <c r="M66" s="73">
        <f>50000+50000+50000</f>
        <v>150000</v>
      </c>
      <c r="N66" s="73">
        <v>50000</v>
      </c>
      <c r="O66" s="93"/>
      <c r="P66" s="73"/>
      <c r="Q66" s="73"/>
      <c r="R66" s="93"/>
      <c r="S66" s="140"/>
      <c r="T66" s="135">
        <f t="shared" si="9"/>
        <v>470000</v>
      </c>
      <c r="U66" s="135">
        <f>E66-T66</f>
        <v>130000</v>
      </c>
    </row>
    <row r="67" spans="1:21" s="55" customFormat="1" ht="12" outlineLevel="1">
      <c r="A67" s="245" t="s">
        <v>157</v>
      </c>
      <c r="B67" s="239" t="s">
        <v>193</v>
      </c>
      <c r="C67" s="141">
        <f>D67/D82</f>
        <v>4.0006401024163869E-2</v>
      </c>
      <c r="D67" s="217">
        <f t="shared" si="14"/>
        <v>1000</v>
      </c>
      <c r="E67" s="237">
        <v>12000</v>
      </c>
      <c r="F67" s="89"/>
      <c r="G67" s="73"/>
      <c r="H67" s="73"/>
      <c r="I67" s="73"/>
      <c r="J67" s="73"/>
      <c r="K67" s="73"/>
      <c r="L67" s="93"/>
      <c r="M67" s="73"/>
      <c r="N67" s="73"/>
      <c r="O67" s="93"/>
      <c r="P67" s="73"/>
      <c r="Q67" s="73"/>
      <c r="R67" s="53"/>
      <c r="S67" s="140"/>
      <c r="T67" s="135">
        <f t="shared" si="9"/>
        <v>0</v>
      </c>
      <c r="U67" s="135">
        <f t="shared" si="2"/>
        <v>12000</v>
      </c>
    </row>
    <row r="68" spans="1:21" s="55" customFormat="1" outlineLevel="1" thickBot="1">
      <c r="A68" s="246" t="s">
        <v>158</v>
      </c>
      <c r="B68" s="247" t="s">
        <v>195</v>
      </c>
      <c r="C68" s="248">
        <f>D68/D82</f>
        <v>0.14002240358457352</v>
      </c>
      <c r="D68" s="249">
        <f t="shared" si="11"/>
        <v>3500</v>
      </c>
      <c r="E68" s="244">
        <v>42000</v>
      </c>
      <c r="F68" s="89"/>
      <c r="G68" s="73"/>
      <c r="H68" s="73"/>
      <c r="I68" s="73"/>
      <c r="J68" s="73"/>
      <c r="K68" s="73"/>
      <c r="L68" s="93"/>
      <c r="M68" s="73"/>
      <c r="N68" s="73"/>
      <c r="O68" s="93"/>
      <c r="P68" s="73"/>
      <c r="Q68" s="73"/>
      <c r="R68" s="53"/>
      <c r="S68" s="140"/>
      <c r="T68" s="164">
        <f t="shared" si="9"/>
        <v>0</v>
      </c>
      <c r="U68" s="135">
        <f t="shared" si="2"/>
        <v>42000</v>
      </c>
    </row>
    <row r="69" spans="1:21" ht="13.5" thickBot="1">
      <c r="A69" s="26">
        <v>13</v>
      </c>
      <c r="B69" s="6" t="s">
        <v>26</v>
      </c>
      <c r="C69" s="36">
        <f>D69/D82</f>
        <v>0.11541846695471275</v>
      </c>
      <c r="D69" s="206">
        <f t="shared" si="11"/>
        <v>2885</v>
      </c>
      <c r="E69" s="64">
        <v>34620</v>
      </c>
      <c r="F69" s="100">
        <v>74000</v>
      </c>
      <c r="G69" s="98"/>
      <c r="H69" s="91"/>
      <c r="I69" s="91">
        <f>878</f>
        <v>878</v>
      </c>
      <c r="J69" s="91"/>
      <c r="K69" s="91"/>
      <c r="L69" s="91"/>
      <c r="M69" s="91"/>
      <c r="N69" s="91">
        <v>6900</v>
      </c>
      <c r="O69" s="91"/>
      <c r="P69" s="91"/>
      <c r="Q69" s="91"/>
      <c r="R69" s="91"/>
      <c r="S69" s="121">
        <v>64260</v>
      </c>
      <c r="T69" s="167">
        <f t="shared" si="9"/>
        <v>72038</v>
      </c>
      <c r="U69" s="148">
        <f>E69-T69</f>
        <v>-37418</v>
      </c>
    </row>
    <row r="70" spans="1:21">
      <c r="A70" s="225">
        <v>14</v>
      </c>
      <c r="B70" s="226" t="s">
        <v>119</v>
      </c>
      <c r="C70" s="227">
        <f>D70/D82</f>
        <v>-2.8451752280364859</v>
      </c>
      <c r="D70" s="228">
        <f t="shared" si="11"/>
        <v>-71118</v>
      </c>
      <c r="E70" s="229">
        <f>SUM(E71:E77)</f>
        <v>-853416</v>
      </c>
      <c r="F70" s="235">
        <f>SUM(F71:F77)</f>
        <v>33685</v>
      </c>
      <c r="G70" s="236">
        <f>SUM(G71:G77)</f>
        <v>6443.13</v>
      </c>
      <c r="H70" s="232">
        <f>SUM(H71:H77)</f>
        <v>73791.88</v>
      </c>
      <c r="I70" s="236">
        <f t="shared" ref="I70:S70" si="15">SUM(I71:I77)</f>
        <v>122207.9</v>
      </c>
      <c r="J70" s="232">
        <f t="shared" si="15"/>
        <v>129091.28</v>
      </c>
      <c r="K70" s="236">
        <f t="shared" si="15"/>
        <v>41856.21</v>
      </c>
      <c r="L70" s="232">
        <f t="shared" si="15"/>
        <v>124405.44</v>
      </c>
      <c r="M70" s="236">
        <f t="shared" si="15"/>
        <v>4801.6899999999996</v>
      </c>
      <c r="N70" s="232">
        <f t="shared" si="15"/>
        <v>143549.62</v>
      </c>
      <c r="O70" s="236">
        <f t="shared" si="15"/>
        <v>32644.46</v>
      </c>
      <c r="P70" s="232">
        <f t="shared" si="15"/>
        <v>126653.99</v>
      </c>
      <c r="Q70" s="236">
        <f t="shared" si="15"/>
        <v>6024.63</v>
      </c>
      <c r="R70" s="232">
        <f t="shared" si="15"/>
        <v>15690.630000000001</v>
      </c>
      <c r="S70" s="236">
        <f t="shared" si="15"/>
        <v>4500</v>
      </c>
      <c r="T70" s="233">
        <f>-SUM(G70:S70)</f>
        <v>-831660.86</v>
      </c>
      <c r="U70" s="234">
        <f>E70-T70</f>
        <v>-21755.140000000014</v>
      </c>
    </row>
    <row r="71" spans="1:21" outlineLevel="1">
      <c r="A71" s="220" t="s">
        <v>176</v>
      </c>
      <c r="B71" s="221" t="s">
        <v>180</v>
      </c>
      <c r="C71" s="222">
        <f>D71/D82</f>
        <v>-1.5710513682189151</v>
      </c>
      <c r="D71" s="223">
        <f t="shared" ref="D71:D77" si="16">E71/12</f>
        <v>-39270</v>
      </c>
      <c r="E71" s="224">
        <v>-471240</v>
      </c>
      <c r="F71" s="180"/>
      <c r="G71" s="180"/>
      <c r="H71" s="181"/>
      <c r="I71" s="182">
        <f>39270*3</f>
        <v>117810</v>
      </c>
      <c r="J71" s="181"/>
      <c r="K71" s="181"/>
      <c r="L71" s="181">
        <f>39270+78540</f>
        <v>117810</v>
      </c>
      <c r="M71" s="181"/>
      <c r="N71" s="181">
        <v>117810</v>
      </c>
      <c r="O71" s="181"/>
      <c r="P71" s="181">
        <v>117810</v>
      </c>
      <c r="Q71" s="181"/>
      <c r="R71" s="181"/>
      <c r="S71" s="182"/>
      <c r="T71" s="230">
        <f>SUM(G71:S71)</f>
        <v>471240</v>
      </c>
      <c r="U71" s="231">
        <f>-E71-T71</f>
        <v>0</v>
      </c>
    </row>
    <row r="72" spans="1:21" outlineLevel="1">
      <c r="A72" s="197" t="s">
        <v>177</v>
      </c>
      <c r="B72" s="183" t="s">
        <v>181</v>
      </c>
      <c r="C72" s="184">
        <f>D72/D82</f>
        <v>-0.77404384701552253</v>
      </c>
      <c r="D72" s="198">
        <f t="shared" si="16"/>
        <v>-19348</v>
      </c>
      <c r="E72" s="187">
        <v>-232176</v>
      </c>
      <c r="F72" s="186"/>
      <c r="G72" s="185"/>
      <c r="H72" s="185">
        <f>17589*4</f>
        <v>70356</v>
      </c>
      <c r="I72" s="185"/>
      <c r="J72" s="185">
        <v>123123</v>
      </c>
      <c r="K72" s="185">
        <v>35178</v>
      </c>
      <c r="L72" s="185"/>
      <c r="M72" s="185"/>
      <c r="N72" s="185"/>
      <c r="O72" s="185"/>
      <c r="P72" s="185"/>
      <c r="Q72" s="185"/>
      <c r="R72" s="185"/>
      <c r="S72" s="194"/>
      <c r="T72" s="195">
        <f>SUM(G72:S72)</f>
        <v>228657</v>
      </c>
      <c r="U72" s="196">
        <f>-E72-T72</f>
        <v>3519</v>
      </c>
    </row>
    <row r="73" spans="1:21" outlineLevel="1">
      <c r="A73" s="197" t="s">
        <v>178</v>
      </c>
      <c r="B73" s="183" t="s">
        <v>182</v>
      </c>
      <c r="C73" s="184">
        <f>D73/D82</f>
        <v>-0.1200192030724916</v>
      </c>
      <c r="D73" s="198">
        <f t="shared" si="16"/>
        <v>-3000</v>
      </c>
      <c r="E73" s="187">
        <v>-36000</v>
      </c>
      <c r="F73" s="186"/>
      <c r="G73" s="185">
        <v>3000</v>
      </c>
      <c r="H73" s="185"/>
      <c r="I73" s="185"/>
      <c r="J73" s="185"/>
      <c r="K73" s="185"/>
      <c r="L73" s="185"/>
      <c r="M73" s="185"/>
      <c r="N73" s="185"/>
      <c r="O73" s="254">
        <v>18000</v>
      </c>
      <c r="P73" s="185"/>
      <c r="Q73" s="185"/>
      <c r="R73" s="185"/>
      <c r="S73" s="255"/>
      <c r="T73" s="230">
        <f t="shared" ref="T73:T77" si="17">SUM(G73:S73)</f>
        <v>21000</v>
      </c>
      <c r="U73" s="230">
        <f t="shared" ref="U73:U77" si="18">-E73-T73</f>
        <v>15000</v>
      </c>
    </row>
    <row r="74" spans="1:21" outlineLevel="1">
      <c r="A74" s="197" t="s">
        <v>179</v>
      </c>
      <c r="B74" s="183" t="s">
        <v>183</v>
      </c>
      <c r="C74" s="184">
        <f>D74/D82</f>
        <v>-0.1200192030724916</v>
      </c>
      <c r="D74" s="198">
        <f t="shared" si="16"/>
        <v>-3000</v>
      </c>
      <c r="E74" s="187">
        <v>-36000</v>
      </c>
      <c r="F74" s="186"/>
      <c r="G74" s="185"/>
      <c r="H74" s="185"/>
      <c r="I74" s="185"/>
      <c r="J74" s="185"/>
      <c r="K74" s="185"/>
      <c r="L74" s="185"/>
      <c r="M74" s="185"/>
      <c r="N74" s="185">
        <v>18000</v>
      </c>
      <c r="O74" s="185">
        <f>6000+3000</f>
        <v>9000</v>
      </c>
      <c r="P74" s="185"/>
      <c r="Q74" s="185"/>
      <c r="R74" s="185">
        <v>9000</v>
      </c>
      <c r="S74" s="194"/>
      <c r="T74" s="195">
        <f t="shared" si="17"/>
        <v>36000</v>
      </c>
      <c r="U74" s="196">
        <f t="shared" si="18"/>
        <v>0</v>
      </c>
    </row>
    <row r="75" spans="1:21" outlineLevel="1">
      <c r="A75" s="197" t="s">
        <v>185</v>
      </c>
      <c r="B75" s="183" t="s">
        <v>184</v>
      </c>
      <c r="C75" s="184">
        <f>D75/D82</f>
        <v>-6.00096015362458E-2</v>
      </c>
      <c r="D75" s="198">
        <f t="shared" si="16"/>
        <v>-1500</v>
      </c>
      <c r="E75" s="187">
        <v>-18000</v>
      </c>
      <c r="F75" s="186"/>
      <c r="G75" s="185"/>
      <c r="H75" s="185">
        <v>1500</v>
      </c>
      <c r="I75" s="185">
        <v>1500</v>
      </c>
      <c r="J75" s="185">
        <v>1500</v>
      </c>
      <c r="K75" s="185">
        <v>1500</v>
      </c>
      <c r="L75" s="185">
        <v>1500</v>
      </c>
      <c r="M75" s="185"/>
      <c r="N75" s="185">
        <f>1500+1500</f>
        <v>3000</v>
      </c>
      <c r="O75" s="185"/>
      <c r="P75" s="185">
        <v>3000</v>
      </c>
      <c r="Q75" s="254"/>
      <c r="R75" s="254"/>
      <c r="S75" s="255">
        <v>4500</v>
      </c>
      <c r="T75" s="230">
        <f t="shared" si="17"/>
        <v>18000</v>
      </c>
      <c r="U75" s="230">
        <f t="shared" si="18"/>
        <v>0</v>
      </c>
    </row>
    <row r="76" spans="1:21" outlineLevel="1">
      <c r="A76" s="197" t="s">
        <v>186</v>
      </c>
      <c r="B76" s="183" t="s">
        <v>189</v>
      </c>
      <c r="C76" s="184">
        <f>D76/D82</f>
        <v>-0.20003200512081934</v>
      </c>
      <c r="D76" s="198">
        <f t="shared" si="16"/>
        <v>-5000</v>
      </c>
      <c r="E76" s="187">
        <v>-60000</v>
      </c>
      <c r="F76" s="186"/>
      <c r="G76" s="185">
        <v>3443.13</v>
      </c>
      <c r="H76" s="185">
        <v>1935.88</v>
      </c>
      <c r="I76" s="185">
        <v>2897.9</v>
      </c>
      <c r="J76" s="185">
        <v>4468.28</v>
      </c>
      <c r="K76" s="185">
        <v>5178.21</v>
      </c>
      <c r="L76" s="185">
        <v>5095.4399999999996</v>
      </c>
      <c r="M76" s="185">
        <v>4801.6899999999996</v>
      </c>
      <c r="N76" s="185">
        <v>4739.62</v>
      </c>
      <c r="O76" s="185">
        <v>5644.46</v>
      </c>
      <c r="P76" s="185">
        <v>5843.99</v>
      </c>
      <c r="Q76" s="254">
        <v>6024.63</v>
      </c>
      <c r="R76" s="254">
        <v>6690.63</v>
      </c>
      <c r="S76" s="194"/>
      <c r="T76" s="195">
        <f t="shared" si="17"/>
        <v>56763.859999999986</v>
      </c>
      <c r="U76" s="196">
        <f t="shared" si="18"/>
        <v>3236.140000000014</v>
      </c>
    </row>
    <row r="77" spans="1:21" ht="13.5" outlineLevel="1" thickBot="1">
      <c r="A77" s="199" t="s">
        <v>188</v>
      </c>
      <c r="B77" s="201" t="s">
        <v>187</v>
      </c>
      <c r="C77" s="202">
        <f>D77/D82</f>
        <v>0</v>
      </c>
      <c r="D77" s="200">
        <f t="shared" si="16"/>
        <v>0</v>
      </c>
      <c r="E77" s="188">
        <v>0</v>
      </c>
      <c r="F77" s="250">
        <v>33685</v>
      </c>
      <c r="G77" s="180"/>
      <c r="H77" s="181"/>
      <c r="I77" s="182"/>
      <c r="J77" s="181"/>
      <c r="K77" s="181"/>
      <c r="L77" s="181"/>
      <c r="M77" s="181"/>
      <c r="N77" s="181"/>
      <c r="O77" s="181"/>
      <c r="P77" s="181"/>
      <c r="Q77" s="181"/>
      <c r="R77" s="181"/>
      <c r="S77" s="182"/>
      <c r="T77" s="230">
        <f t="shared" si="17"/>
        <v>0</v>
      </c>
      <c r="U77" s="231">
        <f t="shared" si="18"/>
        <v>0</v>
      </c>
    </row>
    <row r="78" spans="1:21" ht="13.5" thickBot="1">
      <c r="A78" s="203">
        <v>15</v>
      </c>
      <c r="B78" s="204" t="s">
        <v>120</v>
      </c>
      <c r="C78" s="145">
        <f>D78/D82</f>
        <v>8.5346988851549593E-2</v>
      </c>
      <c r="D78" s="205">
        <f t="shared" si="11"/>
        <v>2133.3333333333335</v>
      </c>
      <c r="E78" s="147">
        <v>25600</v>
      </c>
      <c r="F78" s="100">
        <v>2800</v>
      </c>
      <c r="G78" s="98"/>
      <c r="H78" s="91"/>
      <c r="I78" s="193"/>
      <c r="J78" s="91"/>
      <c r="K78" s="91"/>
      <c r="L78" s="91">
        <f>1014+800</f>
        <v>1814</v>
      </c>
      <c r="M78" s="91">
        <v>13471</v>
      </c>
      <c r="N78" s="91"/>
      <c r="O78" s="91"/>
      <c r="P78" s="91"/>
      <c r="Q78" s="91"/>
      <c r="R78" s="91"/>
      <c r="S78" s="121">
        <v>11390</v>
      </c>
      <c r="T78" s="148">
        <f>SUM(G78:S78)</f>
        <v>26675</v>
      </c>
      <c r="U78" s="148">
        <f>E78-T78</f>
        <v>-1075</v>
      </c>
    </row>
    <row r="79" spans="1:21" ht="13.5" thickBot="1">
      <c r="A79" s="189">
        <v>16</v>
      </c>
      <c r="B79" s="190" t="s">
        <v>194</v>
      </c>
      <c r="C79" s="191">
        <f>D79/D82</f>
        <v>-0.16445964687683362</v>
      </c>
      <c r="D79" s="219">
        <f t="shared" si="11"/>
        <v>-4110.833333333333</v>
      </c>
      <c r="E79" s="192">
        <v>-49330</v>
      </c>
      <c r="F79" s="160"/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3"/>
      <c r="T79" s="133">
        <f>E79</f>
        <v>-49330</v>
      </c>
      <c r="U79" s="79"/>
    </row>
    <row r="80" spans="1:21" ht="13.5" thickBot="1">
      <c r="A80" s="264" t="s">
        <v>27</v>
      </c>
      <c r="B80" s="265"/>
      <c r="C80" s="61">
        <f>D80/D82</f>
        <v>12.000059009441513</v>
      </c>
      <c r="D80" s="62">
        <f t="shared" si="11"/>
        <v>299953.47500000003</v>
      </c>
      <c r="E80" s="268">
        <f>E5+E6+E7+E8+E9+E12+E15+E16+E23+E28+E44+E52+E69+E70+E78+E79</f>
        <v>3599441.7</v>
      </c>
      <c r="F80" s="116">
        <f>F5+F6+F7+F8+F9+F12+F15+F16+F23+F28+F44+F52+F69-F70+F78-F79</f>
        <v>70609</v>
      </c>
      <c r="G80" s="116">
        <f>G5+G6+G7+G8+G9+G12+G15+G16+G23+G28+G44+G52+G69-G70+G78-G79</f>
        <v>135236.72</v>
      </c>
      <c r="H80" s="116">
        <f>H5+H6+H7+H8+H9+H12+H15+H16+H23+H28+H44+H52+H69-H70+H78-H79</f>
        <v>325501.09999999998</v>
      </c>
      <c r="I80" s="116">
        <f>I5+I6+I7+I8+I9+I12+I15+I16+I23+I28+I44+I52+I69-I70+I78-I79</f>
        <v>190864.04</v>
      </c>
      <c r="J80" s="116">
        <f>J5+J6+J7+J8+J9+J12+J15+J16+J23+J28+J44+J52+J69-J70+J78-J79</f>
        <v>192869.97000000006</v>
      </c>
      <c r="K80" s="116">
        <f t="shared" ref="K80:S80" si="19">K5+K6+K7+K8+K9+K12+K15+K16+K23+K28+K44+K52+K69-K70+K78-K79</f>
        <v>361359</v>
      </c>
      <c r="L80" s="116">
        <f t="shared" si="19"/>
        <v>296299.30099999998</v>
      </c>
      <c r="M80" s="116">
        <f t="shared" si="19"/>
        <v>463415.49</v>
      </c>
      <c r="N80" s="116">
        <f t="shared" si="19"/>
        <v>342261.8</v>
      </c>
      <c r="O80" s="116">
        <f t="shared" si="19"/>
        <v>223200.50999999998</v>
      </c>
      <c r="P80" s="116">
        <f t="shared" si="19"/>
        <v>198100.94</v>
      </c>
      <c r="Q80" s="116">
        <f t="shared" si="19"/>
        <v>258760.74</v>
      </c>
      <c r="R80" s="116">
        <f t="shared" si="19"/>
        <v>409338.4</v>
      </c>
      <c r="S80" s="116">
        <f t="shared" si="19"/>
        <v>171235.36</v>
      </c>
      <c r="T80" s="149">
        <f>T5+T6+T7+T8+T9+T12+T15+T16+T23+T28+T44+T52+T69+T70+T78+T79</f>
        <v>3519113.3709999998</v>
      </c>
      <c r="U80" s="25">
        <f>U5+U6+U7+U8+U9+U12+U15+U16+U23+U28+U44+U52+U69+U70+U78+U79</f>
        <v>80328.328999999911</v>
      </c>
    </row>
    <row r="81" spans="1:21" s="11" customFormat="1" ht="11.25">
      <c r="G81" s="119"/>
      <c r="H81" s="119"/>
      <c r="I81" s="119"/>
      <c r="J81" s="119"/>
      <c r="K81" s="119"/>
      <c r="R81" s="119"/>
    </row>
    <row r="82" spans="1:21">
      <c r="A82" s="120" t="s">
        <v>28</v>
      </c>
      <c r="B82" s="120"/>
      <c r="C82" s="34"/>
      <c r="D82" s="1">
        <v>24996</v>
      </c>
      <c r="E82" s="2" t="s">
        <v>29</v>
      </c>
      <c r="F82" s="117"/>
      <c r="T82" s="117"/>
    </row>
    <row r="83" spans="1:21" s="11" customFormat="1" ht="11.25">
      <c r="G83" s="118"/>
      <c r="T83" s="118">
        <f>SUM(G80:S80)+T79</f>
        <v>3519113.3709999993</v>
      </c>
      <c r="U83" s="118">
        <f>E80-T80</f>
        <v>80328.329000000376</v>
      </c>
    </row>
    <row r="84" spans="1:21">
      <c r="A84" s="257" t="s">
        <v>172</v>
      </c>
      <c r="B84" s="257"/>
      <c r="C84" s="33"/>
      <c r="F84" s="117"/>
      <c r="H84" s="117"/>
    </row>
    <row r="85" spans="1:21">
      <c r="A85" s="257" t="s">
        <v>173</v>
      </c>
      <c r="B85" s="257"/>
      <c r="C85" s="33"/>
      <c r="D85" s="35">
        <f>D80/D82</f>
        <v>12.000059009441513</v>
      </c>
      <c r="E85" s="2" t="s">
        <v>31</v>
      </c>
    </row>
  </sheetData>
  <sheetProtection password="D655" sheet="1" objects="1" scenarios="1" selectLockedCells="1" selectUnlockedCells="1"/>
  <mergeCells count="9">
    <mergeCell ref="U3:U4"/>
    <mergeCell ref="A84:B84"/>
    <mergeCell ref="A85:B85"/>
    <mergeCell ref="F3:R3"/>
    <mergeCell ref="T3:T4"/>
    <mergeCell ref="A1:E1"/>
    <mergeCell ref="A2:E2"/>
    <mergeCell ref="A3:E3"/>
    <mergeCell ref="A80:B80"/>
  </mergeCells>
  <phoneticPr fontId="4" type="noConversion"/>
  <pageMargins left="0.59055118110236227" right="0.19685039370078741" top="0.19685039370078741" bottom="0.19685039370078741" header="0.51181102362204722" footer="0.51181102362204722"/>
  <pageSetup paperSize="8" scale="75" firstPageNumber="0" orientation="landscape" horizontalDpi="300" verticalDpi="300" r:id="rId1"/>
  <headerFooter alignWithMargins="0"/>
  <ignoredErrors>
    <ignoredError sqref="F52:H52 T5 T7 T17:T18 T29:T31 T33 T60 T69 T78 E52 E70:F70 S52 T13 M70 S70" formulaRange="1"/>
    <ignoredError sqref="D80 T80" formula="1"/>
    <ignoredError sqref="A41:A43 A65:A68" twoDigitTextYear="1"/>
    <ignoredError sqref="T70" formula="1" formulaRange="1"/>
    <ignoredError sqref="A52 A44 A28 A23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opLeftCell="A61" workbookViewId="0">
      <selection activeCell="A2" sqref="A2:E2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266" t="s">
        <v>162</v>
      </c>
      <c r="D1" s="266"/>
      <c r="E1" s="266"/>
    </row>
    <row r="2" spans="1:5">
      <c r="A2" s="262" t="s">
        <v>0</v>
      </c>
      <c r="B2" s="262"/>
      <c r="C2" s="262"/>
      <c r="D2" s="262"/>
      <c r="E2" s="262"/>
    </row>
    <row r="3" spans="1:5">
      <c r="A3" s="262" t="s">
        <v>116</v>
      </c>
      <c r="B3" s="262"/>
      <c r="C3" s="262"/>
      <c r="D3" s="262"/>
      <c r="E3" s="262"/>
    </row>
    <row r="4" spans="1:5" ht="13.5" thickBot="1">
      <c r="A4" s="263"/>
      <c r="B4" s="263"/>
      <c r="C4" s="263"/>
      <c r="D4" s="263"/>
      <c r="E4" s="263"/>
    </row>
    <row r="5" spans="1:5" ht="39" thickBot="1">
      <c r="A5" s="9" t="s">
        <v>1</v>
      </c>
      <c r="B5" s="10" t="s">
        <v>2</v>
      </c>
      <c r="C5" s="13" t="s">
        <v>161</v>
      </c>
      <c r="D5" s="13" t="s">
        <v>3</v>
      </c>
      <c r="E5" s="20" t="s">
        <v>4</v>
      </c>
    </row>
    <row r="6" spans="1:5" ht="13.5" thickBot="1">
      <c r="A6" s="26">
        <v>1</v>
      </c>
      <c r="B6" s="6" t="s">
        <v>106</v>
      </c>
      <c r="C6" s="36">
        <f>D6/D80</f>
        <v>4.2934603646293468</v>
      </c>
      <c r="D6" s="16">
        <f t="shared" ref="D6:D69" si="0">E6/12</f>
        <v>106915.75</v>
      </c>
      <c r="E6" s="64">
        <v>1282989</v>
      </c>
    </row>
    <row r="7" spans="1:5" ht="13.5" thickBot="1">
      <c r="A7" s="26">
        <v>2</v>
      </c>
      <c r="B7" s="6" t="s">
        <v>117</v>
      </c>
      <c r="C7" s="36">
        <f>D7/D80</f>
        <v>0.6812705806762509</v>
      </c>
      <c r="D7" s="16">
        <f t="shared" si="0"/>
        <v>16965</v>
      </c>
      <c r="E7" s="64">
        <v>203580</v>
      </c>
    </row>
    <row r="8" spans="1:5" ht="13.5" thickBot="1">
      <c r="A8" s="26">
        <v>3</v>
      </c>
      <c r="B8" s="6" t="s">
        <v>118</v>
      </c>
      <c r="C8" s="36">
        <f>D8/D80</f>
        <v>1.7402230075228229</v>
      </c>
      <c r="D8" s="16">
        <f t="shared" si="0"/>
        <v>43335.033333333333</v>
      </c>
      <c r="E8" s="64">
        <v>520020.4</v>
      </c>
    </row>
    <row r="9" spans="1:5" ht="13.5" thickBot="1">
      <c r="A9" s="26">
        <v>4</v>
      </c>
      <c r="B9" s="6" t="s">
        <v>105</v>
      </c>
      <c r="C9" s="36">
        <f>D9/D80</f>
        <v>0.13385805691644581</v>
      </c>
      <c r="D9" s="16">
        <f t="shared" si="0"/>
        <v>3333.3333333333335</v>
      </c>
      <c r="E9" s="64">
        <v>40000</v>
      </c>
    </row>
    <row r="10" spans="1:5">
      <c r="A10" s="139">
        <v>5</v>
      </c>
      <c r="B10" s="7" t="s">
        <v>5</v>
      </c>
      <c r="C10" s="37">
        <f>D10/D80</f>
        <v>3.0118062806200305E-2</v>
      </c>
      <c r="D10" s="17">
        <f t="shared" si="0"/>
        <v>750</v>
      </c>
      <c r="E10" s="65">
        <f>E11+E12</f>
        <v>9000</v>
      </c>
    </row>
    <row r="11" spans="1:5">
      <c r="A11" s="31" t="s">
        <v>45</v>
      </c>
      <c r="B11" s="43" t="s">
        <v>96</v>
      </c>
      <c r="C11" s="44">
        <f>D11/D80</f>
        <v>2.3425159960378018E-2</v>
      </c>
      <c r="D11" s="45">
        <f t="shared" si="0"/>
        <v>583.33333333333337</v>
      </c>
      <c r="E11" s="47">
        <v>7000</v>
      </c>
    </row>
    <row r="12" spans="1:5" ht="13.5" thickBot="1">
      <c r="A12" s="31" t="s">
        <v>46</v>
      </c>
      <c r="B12" s="50" t="s">
        <v>6</v>
      </c>
      <c r="C12" s="51">
        <f>D12/D80</f>
        <v>6.6929028458222895E-3</v>
      </c>
      <c r="D12" s="46">
        <f t="shared" si="0"/>
        <v>166.66666666666666</v>
      </c>
      <c r="E12" s="66">
        <v>2000</v>
      </c>
    </row>
    <row r="13" spans="1:5">
      <c r="A13" s="27" t="s">
        <v>107</v>
      </c>
      <c r="B13" s="7" t="s">
        <v>7</v>
      </c>
      <c r="C13" s="37">
        <f>D13/D80</f>
        <v>0.15393676545391269</v>
      </c>
      <c r="D13" s="17">
        <f t="shared" si="0"/>
        <v>3833.3333333333335</v>
      </c>
      <c r="E13" s="65">
        <f>SUM(E14:E15)</f>
        <v>46000</v>
      </c>
    </row>
    <row r="14" spans="1:5">
      <c r="A14" s="31" t="s">
        <v>131</v>
      </c>
      <c r="B14" s="68" t="s">
        <v>8</v>
      </c>
      <c r="C14" s="44">
        <f>D14/D80</f>
        <v>0.12047225122480122</v>
      </c>
      <c r="D14" s="45">
        <f t="shared" si="0"/>
        <v>3000</v>
      </c>
      <c r="E14" s="47">
        <v>36000</v>
      </c>
    </row>
    <row r="15" spans="1:5">
      <c r="A15" s="31" t="s">
        <v>132</v>
      </c>
      <c r="B15" s="43" t="s">
        <v>9</v>
      </c>
      <c r="C15" s="44">
        <f>D15/D80</f>
        <v>3.3464514229111453E-2</v>
      </c>
      <c r="D15" s="45">
        <f t="shared" si="0"/>
        <v>833.33333333333337</v>
      </c>
      <c r="E15" s="47">
        <f>E16+E17</f>
        <v>10000</v>
      </c>
    </row>
    <row r="16" spans="1:5">
      <c r="A16" s="29" t="s">
        <v>133</v>
      </c>
      <c r="B16" s="3" t="s">
        <v>10</v>
      </c>
      <c r="C16" s="38"/>
      <c r="D16" s="18">
        <f t="shared" si="0"/>
        <v>250</v>
      </c>
      <c r="E16" s="80">
        <v>3000</v>
      </c>
    </row>
    <row r="17" spans="1:5" ht="13.5" thickBot="1">
      <c r="A17" s="30" t="s">
        <v>134</v>
      </c>
      <c r="B17" s="4" t="s">
        <v>71</v>
      </c>
      <c r="C17" s="39"/>
      <c r="D17" s="19">
        <f t="shared" si="0"/>
        <v>583.33333333333337</v>
      </c>
      <c r="E17" s="81">
        <v>7000</v>
      </c>
    </row>
    <row r="18" spans="1:5" ht="13.5" thickBot="1">
      <c r="A18" s="28" t="s">
        <v>108</v>
      </c>
      <c r="B18" s="6" t="s">
        <v>11</v>
      </c>
      <c r="C18" s="36">
        <f>D18/D80</f>
        <v>1.6732257114555726E-2</v>
      </c>
      <c r="D18" s="16">
        <f t="shared" si="0"/>
        <v>416.66666666666669</v>
      </c>
      <c r="E18" s="64">
        <v>5000</v>
      </c>
    </row>
    <row r="19" spans="1:5">
      <c r="A19" s="27" t="s">
        <v>109</v>
      </c>
      <c r="B19" s="7" t="s">
        <v>69</v>
      </c>
      <c r="C19" s="37">
        <f>D19/D80</f>
        <v>0.14356276604288812</v>
      </c>
      <c r="D19" s="17">
        <f t="shared" si="0"/>
        <v>3575</v>
      </c>
      <c r="E19" s="65">
        <f>SUM(E20:E22)</f>
        <v>42900</v>
      </c>
    </row>
    <row r="20" spans="1:5">
      <c r="A20" s="31" t="s">
        <v>47</v>
      </c>
      <c r="B20" s="43" t="s">
        <v>88</v>
      </c>
      <c r="C20" s="44">
        <f>D20/D80</f>
        <v>5.0196771343667172E-2</v>
      </c>
      <c r="D20" s="45">
        <f t="shared" si="0"/>
        <v>1250</v>
      </c>
      <c r="E20" s="47">
        <v>15000</v>
      </c>
    </row>
    <row r="21" spans="1:5">
      <c r="A21" s="31" t="s">
        <v>48</v>
      </c>
      <c r="B21" s="43" t="s">
        <v>72</v>
      </c>
      <c r="C21" s="44">
        <f>D21/D80</f>
        <v>2.007870853746687E-2</v>
      </c>
      <c r="D21" s="45">
        <f t="shared" si="0"/>
        <v>500</v>
      </c>
      <c r="E21" s="47">
        <v>6000</v>
      </c>
    </row>
    <row r="22" spans="1:5">
      <c r="A22" s="31" t="s">
        <v>49</v>
      </c>
      <c r="B22" s="43" t="s">
        <v>68</v>
      </c>
      <c r="C22" s="44">
        <f>D22/D80</f>
        <v>7.3287286161754076E-2</v>
      </c>
      <c r="D22" s="45">
        <f t="shared" si="0"/>
        <v>1825</v>
      </c>
      <c r="E22" s="47">
        <f>SUM(E23:E25)</f>
        <v>21900</v>
      </c>
    </row>
    <row r="23" spans="1:5">
      <c r="A23" s="29" t="s">
        <v>135</v>
      </c>
      <c r="B23" s="3" t="s">
        <v>70</v>
      </c>
      <c r="C23" s="38"/>
      <c r="D23" s="18">
        <f t="shared" si="0"/>
        <v>75</v>
      </c>
      <c r="E23" s="80">
        <v>900</v>
      </c>
    </row>
    <row r="24" spans="1:5">
      <c r="A24" s="29" t="s">
        <v>136</v>
      </c>
      <c r="B24" s="74" t="s">
        <v>94</v>
      </c>
      <c r="C24" s="75"/>
      <c r="D24" s="76">
        <f t="shared" si="0"/>
        <v>500</v>
      </c>
      <c r="E24" s="82">
        <v>6000</v>
      </c>
    </row>
    <row r="25" spans="1:5" ht="13.5" thickBot="1">
      <c r="A25" s="29" t="s">
        <v>137</v>
      </c>
      <c r="B25" s="74" t="s">
        <v>93</v>
      </c>
      <c r="C25" s="75"/>
      <c r="D25" s="76">
        <f t="shared" si="0"/>
        <v>1250</v>
      </c>
      <c r="E25" s="82">
        <v>15000</v>
      </c>
    </row>
    <row r="26" spans="1:5">
      <c r="A26" s="27" t="s">
        <v>110</v>
      </c>
      <c r="B26" s="7" t="s">
        <v>12</v>
      </c>
      <c r="C26" s="37">
        <f>D26/D80</f>
        <v>8.7007736995689769E-2</v>
      </c>
      <c r="D26" s="17">
        <f t="shared" si="0"/>
        <v>2166.6666666666665</v>
      </c>
      <c r="E26" s="65">
        <f>SUM(E27:E31)</f>
        <v>26000</v>
      </c>
    </row>
    <row r="27" spans="1:5">
      <c r="A27" s="31" t="s">
        <v>50</v>
      </c>
      <c r="B27" s="43" t="s">
        <v>13</v>
      </c>
      <c r="C27" s="44">
        <f>D27/D80</f>
        <v>1.6732257114555726E-2</v>
      </c>
      <c r="D27" s="45">
        <f t="shared" si="0"/>
        <v>416.66666666666669</v>
      </c>
      <c r="E27" s="47">
        <v>5000</v>
      </c>
    </row>
    <row r="28" spans="1:5">
      <c r="A28" s="31" t="s">
        <v>51</v>
      </c>
      <c r="B28" s="43" t="s">
        <v>14</v>
      </c>
      <c r="C28" s="44">
        <f>D28/D80</f>
        <v>2.007870853746687E-2</v>
      </c>
      <c r="D28" s="45">
        <f t="shared" si="0"/>
        <v>500</v>
      </c>
      <c r="E28" s="47">
        <v>6000</v>
      </c>
    </row>
    <row r="29" spans="1:5">
      <c r="A29" s="31" t="s">
        <v>52</v>
      </c>
      <c r="B29" s="43" t="s">
        <v>15</v>
      </c>
      <c r="C29" s="44">
        <f>D29/D80</f>
        <v>2.007870853746687E-2</v>
      </c>
      <c r="D29" s="45">
        <f t="shared" si="0"/>
        <v>500</v>
      </c>
      <c r="E29" s="47">
        <v>6000</v>
      </c>
    </row>
    <row r="30" spans="1:5">
      <c r="A30" s="31" t="s">
        <v>53</v>
      </c>
      <c r="B30" s="43" t="s">
        <v>16</v>
      </c>
      <c r="C30" s="44">
        <f>D30/D80</f>
        <v>3.3464514229111448E-3</v>
      </c>
      <c r="D30" s="45">
        <f t="shared" si="0"/>
        <v>83.333333333333329</v>
      </c>
      <c r="E30" s="47">
        <v>1000</v>
      </c>
    </row>
    <row r="31" spans="1:5" ht="13.5" thickBot="1">
      <c r="A31" s="32" t="s">
        <v>54</v>
      </c>
      <c r="B31" s="50" t="s">
        <v>84</v>
      </c>
      <c r="C31" s="51">
        <f>D31/D80</f>
        <v>2.6771611383289158E-2</v>
      </c>
      <c r="D31" s="46">
        <f t="shared" si="0"/>
        <v>666.66666666666663</v>
      </c>
      <c r="E31" s="66">
        <v>8000</v>
      </c>
    </row>
    <row r="32" spans="1:5" ht="25.5">
      <c r="A32" s="27" t="s">
        <v>111</v>
      </c>
      <c r="B32" s="8" t="s">
        <v>17</v>
      </c>
      <c r="C32" s="41">
        <f>D32/D80</f>
        <v>0.95005755896447397</v>
      </c>
      <c r="D32" s="42">
        <f t="shared" si="0"/>
        <v>23658.333333333332</v>
      </c>
      <c r="E32" s="83">
        <f>SUM(E33:E45)</f>
        <v>283900</v>
      </c>
    </row>
    <row r="33" spans="1:5">
      <c r="A33" s="31" t="s">
        <v>56</v>
      </c>
      <c r="B33" s="43" t="s">
        <v>99</v>
      </c>
      <c r="C33" s="44">
        <f>D33/D80</f>
        <v>4.8188900489920486E-2</v>
      </c>
      <c r="D33" s="45">
        <f t="shared" si="0"/>
        <v>1200</v>
      </c>
      <c r="E33" s="47">
        <v>14400</v>
      </c>
    </row>
    <row r="34" spans="1:5">
      <c r="A34" s="31" t="s">
        <v>57</v>
      </c>
      <c r="B34" s="77" t="s">
        <v>55</v>
      </c>
      <c r="C34" s="44">
        <f>D34/D80</f>
        <v>0.16732257114555726</v>
      </c>
      <c r="D34" s="45">
        <f t="shared" si="0"/>
        <v>4166.666666666667</v>
      </c>
      <c r="E34" s="47">
        <v>50000</v>
      </c>
    </row>
    <row r="35" spans="1:5">
      <c r="A35" s="31" t="s">
        <v>58</v>
      </c>
      <c r="B35" s="78" t="s">
        <v>18</v>
      </c>
      <c r="C35" s="44">
        <f>D35/D80</f>
        <v>0.10039354268733434</v>
      </c>
      <c r="D35" s="45">
        <f t="shared" si="0"/>
        <v>2500</v>
      </c>
      <c r="E35" s="47">
        <v>30000</v>
      </c>
    </row>
    <row r="36" spans="1:5">
      <c r="A36" s="31" t="s">
        <v>73</v>
      </c>
      <c r="B36" s="43" t="s">
        <v>19</v>
      </c>
      <c r="C36" s="44">
        <f>D36/D80</f>
        <v>0.10039354268733434</v>
      </c>
      <c r="D36" s="45">
        <f t="shared" si="0"/>
        <v>2500</v>
      </c>
      <c r="E36" s="47">
        <v>30000</v>
      </c>
    </row>
    <row r="37" spans="1:5">
      <c r="A37" s="31" t="s">
        <v>75</v>
      </c>
      <c r="B37" s="43" t="s">
        <v>20</v>
      </c>
      <c r="C37" s="44">
        <f>D37/D80</f>
        <v>2.007870853746687E-2</v>
      </c>
      <c r="D37" s="45">
        <f t="shared" si="0"/>
        <v>500</v>
      </c>
      <c r="E37" s="47">
        <v>6000</v>
      </c>
    </row>
    <row r="38" spans="1:5">
      <c r="A38" s="31" t="s">
        <v>79</v>
      </c>
      <c r="B38" s="43" t="s">
        <v>100</v>
      </c>
      <c r="C38" s="44">
        <f>D38/D83</f>
        <v>22.727269961610727</v>
      </c>
      <c r="D38" s="45">
        <f t="shared" si="0"/>
        <v>250</v>
      </c>
      <c r="E38" s="47">
        <v>3000</v>
      </c>
    </row>
    <row r="39" spans="1:5">
      <c r="A39" s="31" t="s">
        <v>82</v>
      </c>
      <c r="B39" s="43" t="s">
        <v>101</v>
      </c>
      <c r="C39" s="44">
        <f>D39/D83</f>
        <v>22.727269961610727</v>
      </c>
      <c r="D39" s="45">
        <f t="shared" si="0"/>
        <v>250</v>
      </c>
      <c r="E39" s="47">
        <v>3000</v>
      </c>
    </row>
    <row r="40" spans="1:5">
      <c r="A40" s="31" t="s">
        <v>103</v>
      </c>
      <c r="B40" s="43" t="s">
        <v>21</v>
      </c>
      <c r="C40" s="44">
        <f>D40/D80</f>
        <v>4.0157417074933741E-2</v>
      </c>
      <c r="D40" s="45">
        <f t="shared" si="0"/>
        <v>1000</v>
      </c>
      <c r="E40" s="47">
        <v>12000</v>
      </c>
    </row>
    <row r="41" spans="1:5">
      <c r="A41" s="31" t="s">
        <v>138</v>
      </c>
      <c r="B41" s="43" t="s">
        <v>22</v>
      </c>
      <c r="C41" s="44">
        <f>D41/D80</f>
        <v>2.6771611383289158E-2</v>
      </c>
      <c r="D41" s="45">
        <f t="shared" si="0"/>
        <v>666.66666666666663</v>
      </c>
      <c r="E41" s="47">
        <v>8000</v>
      </c>
    </row>
    <row r="42" spans="1:5">
      <c r="A42" s="31" t="s">
        <v>139</v>
      </c>
      <c r="B42" s="43" t="s">
        <v>81</v>
      </c>
      <c r="C42" s="44">
        <f>D42/D80</f>
        <v>0.12047225122480122</v>
      </c>
      <c r="D42" s="45">
        <f t="shared" si="0"/>
        <v>3000</v>
      </c>
      <c r="E42" s="47">
        <v>36000</v>
      </c>
    </row>
    <row r="43" spans="1:5">
      <c r="A43" s="31" t="s">
        <v>140</v>
      </c>
      <c r="B43" s="68" t="s">
        <v>78</v>
      </c>
      <c r="C43" s="44">
        <f>D43/D80</f>
        <v>0.12716515407062351</v>
      </c>
      <c r="D43" s="45">
        <f t="shared" si="0"/>
        <v>3166.6666666666665</v>
      </c>
      <c r="E43" s="47">
        <v>38000</v>
      </c>
    </row>
    <row r="44" spans="1:5">
      <c r="A44" s="31" t="s">
        <v>141</v>
      </c>
      <c r="B44" s="43" t="s">
        <v>23</v>
      </c>
      <c r="C44" s="44">
        <f>D44/D80</f>
        <v>9.5373865552967632E-2</v>
      </c>
      <c r="D44" s="45">
        <f t="shared" si="0"/>
        <v>2375</v>
      </c>
      <c r="E44" s="47">
        <v>28500</v>
      </c>
    </row>
    <row r="45" spans="1:5" ht="13.5" thickBot="1">
      <c r="A45" s="31" t="s">
        <v>142</v>
      </c>
      <c r="B45" s="55" t="s">
        <v>90</v>
      </c>
      <c r="C45" s="142">
        <f>D45/D80</f>
        <v>8.3661285572778632E-2</v>
      </c>
      <c r="D45" s="45">
        <f t="shared" si="0"/>
        <v>2083.3333333333335</v>
      </c>
      <c r="E45" s="47">
        <v>25000</v>
      </c>
    </row>
    <row r="46" spans="1:5">
      <c r="A46" s="27" t="s">
        <v>112</v>
      </c>
      <c r="B46" s="7" t="s">
        <v>102</v>
      </c>
      <c r="C46" s="37">
        <f>D46/D80</f>
        <v>1.5494070088078602</v>
      </c>
      <c r="D46" s="17">
        <f t="shared" si="0"/>
        <v>38583.333333333336</v>
      </c>
      <c r="E46" s="65">
        <f>SUM(E47:E54)</f>
        <v>463000</v>
      </c>
    </row>
    <row r="47" spans="1:5">
      <c r="A47" s="31" t="s">
        <v>59</v>
      </c>
      <c r="B47" s="43" t="s">
        <v>80</v>
      </c>
      <c r="C47" s="44">
        <f>D47/D80</f>
        <v>6.6929028458222906E-2</v>
      </c>
      <c r="D47" s="45">
        <f t="shared" si="0"/>
        <v>1666.6666666666667</v>
      </c>
      <c r="E47" s="47">
        <v>20000</v>
      </c>
    </row>
    <row r="48" spans="1:5">
      <c r="A48" s="31" t="s">
        <v>60</v>
      </c>
      <c r="B48" s="43" t="s">
        <v>87</v>
      </c>
      <c r="C48" s="44">
        <f>D48/D80</f>
        <v>0.20078708537466869</v>
      </c>
      <c r="D48" s="45">
        <f t="shared" si="0"/>
        <v>5000</v>
      </c>
      <c r="E48" s="47">
        <v>60000</v>
      </c>
    </row>
    <row r="49" spans="1:5">
      <c r="A49" s="31" t="s">
        <v>61</v>
      </c>
      <c r="B49" s="43" t="s">
        <v>77</v>
      </c>
      <c r="C49" s="44">
        <f>D49/D80</f>
        <v>0</v>
      </c>
      <c r="D49" s="45">
        <f t="shared" si="0"/>
        <v>0</v>
      </c>
      <c r="E49" s="47">
        <v>0</v>
      </c>
    </row>
    <row r="50" spans="1:5">
      <c r="A50" s="31" t="s">
        <v>62</v>
      </c>
      <c r="B50" s="43" t="s">
        <v>25</v>
      </c>
      <c r="C50" s="44">
        <f>D50/D80</f>
        <v>8.3661285572778632E-2</v>
      </c>
      <c r="D50" s="45">
        <f t="shared" si="0"/>
        <v>2083.3333333333335</v>
      </c>
      <c r="E50" s="47">
        <v>25000</v>
      </c>
    </row>
    <row r="51" spans="1:5">
      <c r="A51" s="31" t="s">
        <v>63</v>
      </c>
      <c r="B51" s="68" t="s">
        <v>76</v>
      </c>
      <c r="C51" s="44">
        <f>D51/D80</f>
        <v>1.6732257114555726E-2</v>
      </c>
      <c r="D51" s="45">
        <f t="shared" si="0"/>
        <v>416.66666666666669</v>
      </c>
      <c r="E51" s="47">
        <v>5000</v>
      </c>
    </row>
    <row r="52" spans="1:5">
      <c r="A52" s="31" t="s">
        <v>64</v>
      </c>
      <c r="B52" s="43" t="s">
        <v>130</v>
      </c>
      <c r="C52" s="44">
        <f>D52/D80</f>
        <v>0.28444837094744729</v>
      </c>
      <c r="D52" s="45">
        <f>E52/12</f>
        <v>7083.333333333333</v>
      </c>
      <c r="E52" s="47">
        <v>85000</v>
      </c>
    </row>
    <row r="53" spans="1:5">
      <c r="A53" s="31" t="s">
        <v>65</v>
      </c>
      <c r="B53" s="43" t="s">
        <v>85</v>
      </c>
      <c r="C53" s="44">
        <f>D53/D80</f>
        <v>2.6771611383289158E-2</v>
      </c>
      <c r="D53" s="45">
        <f>E53/12</f>
        <v>666.66666666666663</v>
      </c>
      <c r="E53" s="47">
        <v>8000</v>
      </c>
    </row>
    <row r="54" spans="1:5" ht="13.5" thickBot="1">
      <c r="A54" s="31" t="s">
        <v>66</v>
      </c>
      <c r="B54" s="43" t="s">
        <v>121</v>
      </c>
      <c r="C54" s="44">
        <f>D54/D80</f>
        <v>0.87007736995689777</v>
      </c>
      <c r="D54" s="45">
        <f>E54/12</f>
        <v>21666.666666666668</v>
      </c>
      <c r="E54" s="47">
        <v>260000</v>
      </c>
    </row>
    <row r="55" spans="1:5">
      <c r="A55" s="27" t="s">
        <v>113</v>
      </c>
      <c r="B55" s="7" t="s">
        <v>127</v>
      </c>
      <c r="C55" s="37">
        <f>D55/D80</f>
        <v>4.6150208818568785</v>
      </c>
      <c r="D55" s="17">
        <f t="shared" si="0"/>
        <v>114923.25</v>
      </c>
      <c r="E55" s="65">
        <f>SUM(E56:E72)</f>
        <v>1379079</v>
      </c>
    </row>
    <row r="56" spans="1:5">
      <c r="A56" s="31" t="s">
        <v>143</v>
      </c>
      <c r="B56" s="43" t="s">
        <v>95</v>
      </c>
      <c r="C56" s="44">
        <f>D56/D80</f>
        <v>8.3661285572778632E-2</v>
      </c>
      <c r="D56" s="45">
        <f t="shared" si="0"/>
        <v>2083.3333333333335</v>
      </c>
      <c r="E56" s="47">
        <v>25000</v>
      </c>
    </row>
    <row r="57" spans="1:5">
      <c r="A57" s="31" t="s">
        <v>144</v>
      </c>
      <c r="B57" s="68" t="s">
        <v>91</v>
      </c>
      <c r="C57" s="44">
        <f>D57/D80</f>
        <v>0.26771611383289162</v>
      </c>
      <c r="D57" s="45">
        <f t="shared" si="0"/>
        <v>6666.666666666667</v>
      </c>
      <c r="E57" s="47">
        <v>80000</v>
      </c>
    </row>
    <row r="58" spans="1:5">
      <c r="A58" s="31" t="s">
        <v>145</v>
      </c>
      <c r="B58" s="43" t="s">
        <v>122</v>
      </c>
      <c r="C58" s="44">
        <f>D58/D80</f>
        <v>0.10039354268733434</v>
      </c>
      <c r="D58" s="45">
        <f t="shared" si="0"/>
        <v>2500</v>
      </c>
      <c r="E58" s="47">
        <v>30000</v>
      </c>
    </row>
    <row r="59" spans="1:5">
      <c r="A59" s="31" t="s">
        <v>146</v>
      </c>
      <c r="B59" s="43" t="s">
        <v>125</v>
      </c>
      <c r="C59" s="44">
        <f>D59/D80</f>
        <v>6.0236125612400611E-2</v>
      </c>
      <c r="D59" s="45">
        <f t="shared" si="0"/>
        <v>1500</v>
      </c>
      <c r="E59" s="47">
        <v>18000</v>
      </c>
    </row>
    <row r="60" spans="1:5">
      <c r="A60" s="31" t="s">
        <v>147</v>
      </c>
      <c r="B60" s="68" t="s">
        <v>123</v>
      </c>
      <c r="C60" s="44">
        <f>D60/D80</f>
        <v>0.53543222766578324</v>
      </c>
      <c r="D60" s="45">
        <f t="shared" si="0"/>
        <v>13333.333333333334</v>
      </c>
      <c r="E60" s="47">
        <v>160000</v>
      </c>
    </row>
    <row r="61" spans="1:5">
      <c r="A61" s="31" t="s">
        <v>148</v>
      </c>
      <c r="B61" s="68" t="s">
        <v>160</v>
      </c>
      <c r="C61" s="44">
        <f>D61/D80</f>
        <v>0.33464514229111453</v>
      </c>
      <c r="D61" s="45">
        <f t="shared" si="0"/>
        <v>8333.3333333333339</v>
      </c>
      <c r="E61" s="47">
        <v>100000</v>
      </c>
    </row>
    <row r="62" spans="1:5">
      <c r="A62" s="31" t="s">
        <v>149</v>
      </c>
      <c r="B62" s="43" t="s">
        <v>74</v>
      </c>
      <c r="C62" s="44">
        <f>D62/D80</f>
        <v>1.3385805691644579E-2</v>
      </c>
      <c r="D62" s="45">
        <f t="shared" si="0"/>
        <v>333.33333333333331</v>
      </c>
      <c r="E62" s="47">
        <v>4000</v>
      </c>
    </row>
    <row r="63" spans="1:5">
      <c r="A63" s="31" t="s">
        <v>150</v>
      </c>
      <c r="B63" s="68" t="s">
        <v>98</v>
      </c>
      <c r="C63" s="44">
        <f>D63/D80</f>
        <v>2.8110191952453619E-2</v>
      </c>
      <c r="D63" s="45">
        <f t="shared" si="0"/>
        <v>700</v>
      </c>
      <c r="E63" s="47">
        <v>8400</v>
      </c>
    </row>
    <row r="64" spans="1:5">
      <c r="A64" s="31" t="s">
        <v>151</v>
      </c>
      <c r="B64" s="43" t="s">
        <v>97</v>
      </c>
      <c r="C64" s="44">
        <f>D64/D80</f>
        <v>0.10708644553315663</v>
      </c>
      <c r="D64" s="45">
        <f t="shared" si="0"/>
        <v>2666.6666666666665</v>
      </c>
      <c r="E64" s="47">
        <v>32000</v>
      </c>
    </row>
    <row r="65" spans="1:5">
      <c r="A65" s="31" t="s">
        <v>152</v>
      </c>
      <c r="B65" s="43" t="s">
        <v>83</v>
      </c>
      <c r="C65" s="44">
        <f>D65/D80</f>
        <v>2.6771611383289158E-2</v>
      </c>
      <c r="D65" s="45">
        <f t="shared" si="0"/>
        <v>666.66666666666663</v>
      </c>
      <c r="E65" s="47">
        <v>8000</v>
      </c>
    </row>
    <row r="66" spans="1:5">
      <c r="A66" s="31" t="s">
        <v>153</v>
      </c>
      <c r="B66" s="48" t="s">
        <v>126</v>
      </c>
      <c r="C66" s="44">
        <f>D66/D80</f>
        <v>8.3661285572778632E-2</v>
      </c>
      <c r="D66" s="49">
        <f t="shared" si="0"/>
        <v>2083.3333333333335</v>
      </c>
      <c r="E66" s="84">
        <v>25000</v>
      </c>
    </row>
    <row r="67" spans="1:5">
      <c r="A67" s="31" t="s">
        <v>154</v>
      </c>
      <c r="B67" s="48" t="s">
        <v>86</v>
      </c>
      <c r="C67" s="44">
        <f>D67/D80</f>
        <v>0.21751934248922444</v>
      </c>
      <c r="D67" s="49">
        <f t="shared" si="0"/>
        <v>5416.666666666667</v>
      </c>
      <c r="E67" s="84">
        <v>65000</v>
      </c>
    </row>
    <row r="68" spans="1:5">
      <c r="A68" s="31" t="s">
        <v>155</v>
      </c>
      <c r="B68" s="77" t="s">
        <v>24</v>
      </c>
      <c r="C68" s="103">
        <f>D68/D80</f>
        <v>2.3425159960378018E-2</v>
      </c>
      <c r="D68" s="104">
        <f t="shared" si="0"/>
        <v>583.33333333333337</v>
      </c>
      <c r="E68" s="105">
        <v>7000</v>
      </c>
    </row>
    <row r="69" spans="1:5">
      <c r="A69" s="31" t="s">
        <v>156</v>
      </c>
      <c r="B69" s="106" t="s">
        <v>124</v>
      </c>
      <c r="C69" s="107">
        <f>D69/D80</f>
        <v>0.93700639841512057</v>
      </c>
      <c r="D69" s="108">
        <f t="shared" si="0"/>
        <v>23333.333333333332</v>
      </c>
      <c r="E69" s="134">
        <v>280000</v>
      </c>
    </row>
    <row r="70" spans="1:5">
      <c r="A70" s="31" t="s">
        <v>157</v>
      </c>
      <c r="B70" s="106" t="s">
        <v>129</v>
      </c>
      <c r="C70" s="107">
        <f>D70/D80</f>
        <v>1.6397611972264612</v>
      </c>
      <c r="D70" s="108">
        <f t="shared" ref="D70:D78" si="1">E70/12</f>
        <v>40833.333333333336</v>
      </c>
      <c r="E70" s="134">
        <v>490000</v>
      </c>
    </row>
    <row r="71" spans="1:5">
      <c r="A71" s="31" t="s">
        <v>158</v>
      </c>
      <c r="B71" s="136" t="s">
        <v>128</v>
      </c>
      <c r="C71" s="141">
        <f>D71/D80</f>
        <v>0.13613029743260247</v>
      </c>
      <c r="D71" s="137">
        <f t="shared" si="1"/>
        <v>3389.9166666666665</v>
      </c>
      <c r="E71" s="134">
        <v>40679</v>
      </c>
    </row>
    <row r="72" spans="1:5" ht="13.5" thickBot="1">
      <c r="A72" s="31" t="s">
        <v>159</v>
      </c>
      <c r="B72" s="68" t="s">
        <v>104</v>
      </c>
      <c r="C72" s="101">
        <f>D72/D80</f>
        <v>2.007870853746687E-2</v>
      </c>
      <c r="D72" s="102">
        <f t="shared" si="1"/>
        <v>500</v>
      </c>
      <c r="E72" s="138">
        <v>6000</v>
      </c>
    </row>
    <row r="73" spans="1:5" ht="13.5" thickBot="1">
      <c r="A73" s="26">
        <v>13</v>
      </c>
      <c r="B73" s="5" t="s">
        <v>92</v>
      </c>
      <c r="C73" s="40">
        <f>D73/D80</f>
        <v>0</v>
      </c>
      <c r="D73" s="16">
        <f t="shared" si="1"/>
        <v>0</v>
      </c>
      <c r="E73" s="64">
        <v>0</v>
      </c>
    </row>
    <row r="74" spans="1:5" ht="13.5" thickBot="1">
      <c r="A74" s="26">
        <v>14</v>
      </c>
      <c r="B74" s="6" t="s">
        <v>26</v>
      </c>
      <c r="C74" s="36">
        <f>D74/D80</f>
        <v>3.3464514229111453E-2</v>
      </c>
      <c r="D74" s="16">
        <f t="shared" si="1"/>
        <v>833.33333333333337</v>
      </c>
      <c r="E74" s="64">
        <v>10000</v>
      </c>
    </row>
    <row r="75" spans="1:5" ht="13.5" thickBot="1">
      <c r="A75" s="58">
        <v>15</v>
      </c>
      <c r="B75" s="59" t="s">
        <v>119</v>
      </c>
      <c r="C75" s="85">
        <f>D75/D80</f>
        <v>1.350293149144647</v>
      </c>
      <c r="D75" s="57">
        <f t="shared" si="1"/>
        <v>33625</v>
      </c>
      <c r="E75" s="60">
        <v>403500</v>
      </c>
    </row>
    <row r="76" spans="1:5" ht="13.5" thickBot="1">
      <c r="A76" s="143">
        <v>16</v>
      </c>
      <c r="B76" s="144" t="s">
        <v>120</v>
      </c>
      <c r="C76" s="145">
        <f>D76/D80</f>
        <v>8.1017588948678818E-2</v>
      </c>
      <c r="D76" s="146">
        <f t="shared" si="1"/>
        <v>2017.5</v>
      </c>
      <c r="E76" s="147">
        <v>24210</v>
      </c>
    </row>
    <row r="77" spans="1:5" ht="13.5" thickBot="1">
      <c r="A77" s="58">
        <v>17</v>
      </c>
      <c r="B77" s="59" t="s">
        <v>114</v>
      </c>
      <c r="C77" s="56">
        <f>D77/D80</f>
        <v>2.1588426632399003</v>
      </c>
      <c r="D77" s="57">
        <f t="shared" si="1"/>
        <v>53759.5</v>
      </c>
      <c r="E77" s="60">
        <v>645114</v>
      </c>
    </row>
    <row r="78" spans="1:5" ht="13.5" thickBot="1">
      <c r="A78" s="264" t="s">
        <v>27</v>
      </c>
      <c r="B78" s="265"/>
      <c r="C78" s="61">
        <f>D78/D80</f>
        <v>11.000001338580571</v>
      </c>
      <c r="D78" s="62">
        <f t="shared" si="1"/>
        <v>273922.03333333338</v>
      </c>
      <c r="E78" s="63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20" t="s">
        <v>28</v>
      </c>
      <c r="B80" s="120"/>
      <c r="C80" s="34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257" t="s">
        <v>115</v>
      </c>
      <c r="B82" s="257"/>
      <c r="C82" s="33"/>
    </row>
    <row r="83" spans="1:5">
      <c r="A83" s="257" t="s">
        <v>30</v>
      </c>
      <c r="B83" s="257"/>
      <c r="C83" s="33"/>
      <c r="D83" s="35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Лист1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2017-01-24T15:10:54Z</cp:lastPrinted>
  <dcterms:created xsi:type="dcterms:W3CDTF">2010-12-02T20:37:32Z</dcterms:created>
  <dcterms:modified xsi:type="dcterms:W3CDTF">2017-01-24T15:13:47Z</dcterms:modified>
</cp:coreProperties>
</file>