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40" windowWidth="1548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Лист1!$A$1:$U$26</definedName>
  </definedNames>
  <calcPr calcId="125725"/>
</workbook>
</file>

<file path=xl/calcChain.xml><?xml version="1.0" encoding="utf-8"?>
<calcChain xmlns="http://schemas.openxmlformats.org/spreadsheetml/2006/main">
  <c r="E15" i="1"/>
  <c r="N6"/>
  <c r="N5"/>
  <c r="O6" l="1"/>
  <c r="R5" l="1"/>
  <c r="R6"/>
  <c r="Q5" l="1"/>
  <c r="Q6"/>
  <c r="P6" l="1"/>
  <c r="P5"/>
  <c r="L5" l="1"/>
  <c r="M6" l="1"/>
  <c r="M5"/>
  <c r="O5" l="1"/>
  <c r="O10" l="1"/>
  <c r="L6" l="1"/>
  <c r="K5" l="1"/>
  <c r="J5"/>
  <c r="K6" l="1"/>
  <c r="J6" l="1"/>
  <c r="I5" l="1"/>
  <c r="H5" l="1"/>
  <c r="H6"/>
  <c r="I6" l="1"/>
  <c r="G5" l="1"/>
  <c r="F6" l="1"/>
  <c r="T8" l="1"/>
  <c r="T9"/>
  <c r="T10"/>
  <c r="T11"/>
  <c r="T12"/>
  <c r="T13"/>
  <c r="T14"/>
  <c r="T7"/>
  <c r="E16" l="1"/>
  <c r="K16"/>
  <c r="T5"/>
  <c r="R16"/>
  <c r="J16"/>
  <c r="S16"/>
  <c r="Q16"/>
  <c r="D21"/>
  <c r="U9"/>
  <c r="U11"/>
  <c r="U12"/>
  <c r="U13"/>
  <c r="D9"/>
  <c r="C9" s="1"/>
  <c r="P16"/>
  <c r="G16"/>
  <c r="O16"/>
  <c r="N16"/>
  <c r="E37" i="2"/>
  <c r="D36"/>
  <c r="C36" s="1"/>
  <c r="D35"/>
  <c r="C35" s="1"/>
  <c r="D34"/>
  <c r="D22"/>
  <c r="E17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D7"/>
  <c r="C7" s="1"/>
  <c r="D6"/>
  <c r="C6" s="1"/>
  <c r="U10" i="1"/>
  <c r="U8"/>
  <c r="U14"/>
  <c r="T15"/>
  <c r="U15" s="1"/>
  <c r="U7"/>
  <c r="F16"/>
  <c r="M16"/>
  <c r="D14"/>
  <c r="C14" s="1"/>
  <c r="D13"/>
  <c r="C13" s="1"/>
  <c r="D15"/>
  <c r="C15" s="1"/>
  <c r="D11"/>
  <c r="C11" s="1"/>
  <c r="D12"/>
  <c r="C12" s="1"/>
  <c r="D5"/>
  <c r="D6"/>
  <c r="C6" s="1"/>
  <c r="D10"/>
  <c r="C10" s="1"/>
  <c r="I16"/>
  <c r="D8"/>
  <c r="C8" s="1"/>
  <c r="D7"/>
  <c r="C7" s="1"/>
  <c r="L16"/>
  <c r="D37" i="2" l="1"/>
  <c r="D43" s="1"/>
  <c r="C17"/>
  <c r="D16" i="1"/>
  <c r="D25" s="1"/>
  <c r="U5"/>
  <c r="D17" i="2"/>
  <c r="C5" i="1"/>
  <c r="C16" s="1"/>
  <c r="H16"/>
  <c r="T16" s="1"/>
  <c r="C34" i="2"/>
  <c r="C37" s="1"/>
  <c r="T6" i="1"/>
  <c r="U6" l="1"/>
  <c r="U16" s="1"/>
  <c r="D26"/>
  <c r="D25" i="2"/>
  <c r="D26"/>
  <c r="D27" s="1"/>
</calcChain>
</file>

<file path=xl/comments1.xml><?xml version="1.0" encoding="utf-8"?>
<comments xmlns="http://schemas.openxmlformats.org/spreadsheetml/2006/main">
  <authors>
    <author>User 1</author>
  </authors>
  <commentList>
    <comment ref="L11" authorId="0">
      <text>
        <r>
          <rPr>
            <b/>
            <sz val="9"/>
            <color indexed="81"/>
            <rFont val="Tahoma"/>
            <family val="2"/>
            <charset val="204"/>
          </rPr>
          <t>User 1:</t>
        </r>
        <r>
          <rPr>
            <sz val="9"/>
            <color indexed="81"/>
            <rFont val="Tahoma"/>
            <family val="2"/>
            <charset val="204"/>
          </rPr>
          <t xml:space="preserve">
замена ограничителя скорости лифта</t>
        </r>
      </text>
    </comment>
  </commentList>
</comments>
</file>

<file path=xl/sharedStrings.xml><?xml version="1.0" encoding="utf-8"?>
<sst xmlns="http://schemas.openxmlformats.org/spreadsheetml/2006/main" count="96" uniqueCount="56">
  <si>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</si>
  <si>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</si>
  <si>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</si>
  <si>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</si>
  <si>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</si>
  <si>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</si>
  <si>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</si>
  <si>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</si>
  <si>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</si>
  <si>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</si>
  <si>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</si>
  <si>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</si>
  <si>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</si>
  <si>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</si>
  <si>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</si>
  <si>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</si>
  <si>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</si>
  <si>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</si>
  <si>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</si>
  <si>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</si>
  <si>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</si>
  <si>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</si>
  <si>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</si>
  <si>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</si>
  <si>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</si>
  <si>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</si>
  <si>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</si>
  <si>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</si>
  <si>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</si>
  <si>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</si>
  <si>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</si>
  <si>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</si>
  <si>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</si>
  <si>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</si>
  <si>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</si>
  <si>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</si>
  <si>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</si>
  <si>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</si>
  <si>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</si>
  <si>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</si>
  <si>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</si>
  <si>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</si>
  <si>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</si>
  <si>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</si>
  <si>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</si>
  <si>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</si>
  <si>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</si>
  <si>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</si>
  <si>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</si>
  <si>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</si>
  <si>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Общая площадь квартир МКД по адресу: ул. Чехова, 346 составляет</t>
  </si>
  <si>
    <t>в январе 2019г. за декабрь 2018г.</t>
  </si>
  <si>
    <t>техническому содержанию и ремонту лифтового хозяйства многоквартирного дома на 2019 г.</t>
  </si>
  <si>
    <t>в январе 2020г. за декабрь 2019г.</t>
  </si>
  <si>
    <t>На основании сметы расходов на 2019 г. Правление ТСЖ предлагает утвердить</t>
  </si>
  <si>
    <t>Сумма расходов по месяцам 2019 года, руб.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</si>
</sst>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4" fillId="0" borderId="5" xfId="0" applyNumberFormat="1" applyFont="1" applyBorder="1"/>
    <xf numFmtId="1" fontId="4" fillId="3" borderId="6" xfId="0" applyNumberFormat="1" applyFont="1" applyFill="1" applyBorder="1"/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4" fillId="0" borderId="18" xfId="0" applyNumberFormat="1" applyFont="1" applyBorder="1"/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0" fontId="4" fillId="4" borderId="22" xfId="0" applyFont="1" applyFill="1" applyBorder="1"/>
    <xf numFmtId="0" fontId="4" fillId="4" borderId="5" xfId="0" applyFont="1" applyFill="1" applyBorder="1"/>
    <xf numFmtId="0" fontId="4" fillId="4" borderId="16" xfId="0" applyFont="1" applyFill="1" applyBorder="1"/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5" fillId="0" borderId="5" xfId="0" applyFont="1" applyFill="1" applyBorder="1"/>
    <xf numFmtId="1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5" fillId="0" borderId="9" xfId="0" applyFont="1" applyFill="1" applyBorder="1"/>
    <xf numFmtId="0" fontId="5" fillId="0" borderId="0" xfId="0" applyFont="1" applyFill="1" applyBorder="1"/>
    <xf numFmtId="1" fontId="4" fillId="0" borderId="5" xfId="0" applyNumberFormat="1" applyFont="1" applyFill="1" applyBorder="1"/>
    <xf numFmtId="1" fontId="4" fillId="0" borderId="4" xfId="0" applyNumberFormat="1" applyFont="1" applyFill="1" applyBorder="1"/>
    <xf numFmtId="1" fontId="4" fillId="0" borderId="12" xfId="0" applyNumberFormat="1" applyFont="1" applyFill="1" applyBorder="1"/>
    <xf numFmtId="2" fontId="5" fillId="0" borderId="5" xfId="0" applyNumberFormat="1" applyFont="1" applyFill="1" applyBorder="1"/>
    <xf numFmtId="2" fontId="5" fillId="0" borderId="12" xfId="0" applyNumberFormat="1" applyFont="1" applyFill="1" applyBorder="1"/>
    <xf numFmtId="2" fontId="4" fillId="4" borderId="5" xfId="0" applyNumberFormat="1" applyFont="1" applyFill="1" applyBorder="1" applyAlignment="1">
      <alignment horizontal="center" vertical="justify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/>
    </xf>
    <xf numFmtId="2" fontId="5" fillId="0" borderId="9" xfId="0" applyNumberFormat="1" applyFont="1" applyFill="1" applyBorder="1"/>
    <xf numFmtId="2" fontId="5" fillId="0" borderId="13" xfId="0" applyNumberFormat="1" applyFont="1" applyFill="1" applyBorder="1"/>
    <xf numFmtId="2" fontId="5" fillId="0" borderId="0" xfId="0" applyNumberFormat="1" applyFont="1" applyFill="1" applyBorder="1"/>
    <xf numFmtId="2" fontId="5" fillId="0" borderId="5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/>
    <xf numFmtId="2" fontId="4" fillId="4" borderId="23" xfId="0" applyNumberFormat="1" applyFont="1" applyFill="1" applyBorder="1"/>
    <xf numFmtId="2" fontId="4" fillId="4" borderId="5" xfId="0" applyNumberFormat="1" applyFont="1" applyFill="1" applyBorder="1"/>
    <xf numFmtId="2" fontId="4" fillId="4" borderId="16" xfId="0" applyNumberFormat="1" applyFont="1" applyFill="1" applyBorder="1"/>
    <xf numFmtId="0" fontId="5" fillId="0" borderId="13" xfId="0" applyFont="1" applyFill="1" applyBorder="1"/>
    <xf numFmtId="0" fontId="1" fillId="0" borderId="0" xfId="0" applyFont="1" applyFill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P27" sqref="P27"/>
    </sheetView>
  </sheetViews>
  <sheetFormatPr defaultRowHeight="12.75"/>
  <cols>
    <col min="1" max="1" width="4" customWidth="1"/>
    <col min="2" max="2" width="66" customWidth="1"/>
    <col min="3" max="3" width="9" customWidth="1"/>
    <col min="4" max="4" width="8.7109375" customWidth="1"/>
    <col min="5" max="5" width="8.140625" customWidth="1"/>
    <col min="6" max="12" width="10" customWidth="1"/>
    <col min="13" max="13" width="11.140625" customWidth="1"/>
    <col min="14" max="14" width="9.5703125" customWidth="1"/>
    <col min="15" max="15" width="9.7109375" bestFit="1" customWidth="1"/>
    <col min="16" max="16" width="9.5703125" bestFit="1" customWidth="1"/>
    <col min="17" max="17" width="7.85546875" bestFit="1" customWidth="1"/>
    <col min="18" max="18" width="8.85546875" bestFit="1" customWidth="1"/>
    <col min="19" max="19" width="9.85546875" customWidth="1"/>
    <col min="20" max="21" width="9.5703125" customWidth="1"/>
  </cols>
  <sheetData>
    <row r="1" spans="1:21">
      <c r="A1" s="114" t="s">
        <v>0</v>
      </c>
      <c r="B1" s="114"/>
      <c r="C1" s="114"/>
      <c r="D1" s="114"/>
      <c r="E1" s="114"/>
      <c r="F1" s="27"/>
    </row>
    <row r="2" spans="1:21" ht="13.5" thickBot="1">
      <c r="A2" s="114" t="s">
        <v>52</v>
      </c>
      <c r="B2" s="114"/>
      <c r="C2" s="114"/>
      <c r="D2" s="114"/>
      <c r="E2" s="114"/>
      <c r="F2" s="27"/>
    </row>
    <row r="3" spans="1:21" ht="13.5" customHeight="1" thickBot="1">
      <c r="A3" s="115"/>
      <c r="B3" s="115"/>
      <c r="C3" s="115"/>
      <c r="D3" s="115"/>
      <c r="E3" s="115"/>
      <c r="F3" s="28"/>
      <c r="G3" s="111" t="s">
        <v>55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S3" s="83"/>
      <c r="T3" s="84"/>
      <c r="U3" s="84"/>
    </row>
    <row r="4" spans="1:21" ht="53.45" customHeight="1" thickBot="1">
      <c r="A4" s="50" t="s">
        <v>1</v>
      </c>
      <c r="B4" s="79" t="s">
        <v>2</v>
      </c>
      <c r="C4" s="57" t="s">
        <v>26</v>
      </c>
      <c r="D4" s="49" t="s">
        <v>3</v>
      </c>
      <c r="E4" s="7" t="s">
        <v>4</v>
      </c>
      <c r="F4" s="93" t="s">
        <v>51</v>
      </c>
      <c r="G4" s="94" t="s">
        <v>12</v>
      </c>
      <c r="H4" s="95" t="s">
        <v>13</v>
      </c>
      <c r="I4" s="94" t="s">
        <v>14</v>
      </c>
      <c r="J4" s="94" t="s">
        <v>15</v>
      </c>
      <c r="K4" s="94" t="s">
        <v>16</v>
      </c>
      <c r="L4" s="94" t="s">
        <v>17</v>
      </c>
      <c r="M4" s="94" t="s">
        <v>18</v>
      </c>
      <c r="N4" s="95" t="s">
        <v>19</v>
      </c>
      <c r="O4" s="94" t="s">
        <v>20</v>
      </c>
      <c r="P4" s="95" t="s">
        <v>21</v>
      </c>
      <c r="Q4" s="52" t="s">
        <v>22</v>
      </c>
      <c r="R4" s="51" t="s">
        <v>23</v>
      </c>
      <c r="S4" s="29" t="s">
        <v>53</v>
      </c>
      <c r="T4" s="85" t="s">
        <v>24</v>
      </c>
      <c r="U4" s="85" t="s">
        <v>25</v>
      </c>
    </row>
    <row r="5" spans="1:21" ht="13.5" thickBot="1">
      <c r="A5" s="73">
        <v>1</v>
      </c>
      <c r="B5" s="71" t="s">
        <v>46</v>
      </c>
      <c r="C5" s="58">
        <f>D5/D18</f>
        <v>1.8159259596731172</v>
      </c>
      <c r="D5" s="31">
        <f t="shared" ref="D5:D15" si="0">E5/12</f>
        <v>45240</v>
      </c>
      <c r="E5" s="35">
        <v>542880</v>
      </c>
      <c r="F5" s="91"/>
      <c r="G5" s="96">
        <f>11745+3915+5220</f>
        <v>20880</v>
      </c>
      <c r="H5" s="97">
        <f>15399+13572+5133+3828+4524+4524</f>
        <v>46980</v>
      </c>
      <c r="I5" s="91">
        <f>13572+13572+9048+9048</f>
        <v>45240</v>
      </c>
      <c r="J5" s="91">
        <f>13572+13572+13572+27144</f>
        <v>67860</v>
      </c>
      <c r="K5" s="91">
        <f>13572+4524+4524</f>
        <v>22620</v>
      </c>
      <c r="L5" s="91">
        <f>13572+4524+4524+4702.56+4524+13572</f>
        <v>45418.559999999998</v>
      </c>
      <c r="M5" s="91">
        <f>13572+13572+4323.3+4524+4285.32+4500+2000+5667.11</f>
        <v>52443.73</v>
      </c>
      <c r="N5" s="97">
        <f>4059.22+12588.57+13852.4+4548+3114.26+4524+4524+2292.17</f>
        <v>49502.62</v>
      </c>
      <c r="O5" s="91">
        <f>5540.73+18472+4500+7333.36</f>
        <v>35846.089999999997</v>
      </c>
      <c r="P5" s="97">
        <f>4116.76+26714.95+4500+16000</f>
        <v>51331.71</v>
      </c>
      <c r="Q5" s="81">
        <f>4548+9963.48+2214.92+905+4524+11198</f>
        <v>33353.4</v>
      </c>
      <c r="R5" s="86">
        <f>11310+13683+4432.19+8224.54+9869.45+9871.46+13161.28</f>
        <v>70551.92</v>
      </c>
      <c r="S5" s="81"/>
      <c r="T5" s="26">
        <f>SUM(G5:S5)</f>
        <v>542028.03</v>
      </c>
      <c r="U5" s="88">
        <f t="shared" ref="U5:U14" si="1">E5-T5</f>
        <v>851.96999999997206</v>
      </c>
    </row>
    <row r="6" spans="1:21" ht="13.5" thickBot="1">
      <c r="A6" s="73">
        <v>2</v>
      </c>
      <c r="B6" s="65" t="s">
        <v>5</v>
      </c>
      <c r="C6" s="59">
        <f>D6/D18</f>
        <v>0.90170116618251339</v>
      </c>
      <c r="D6" s="32">
        <f t="shared" si="0"/>
        <v>22464</v>
      </c>
      <c r="E6" s="39">
        <v>269568</v>
      </c>
      <c r="F6" s="98">
        <f>95.14+9514.28</f>
        <v>9609.42</v>
      </c>
      <c r="G6" s="92"/>
      <c r="H6" s="99">
        <f>104+1508+2652+6760+11440</f>
        <v>22464</v>
      </c>
      <c r="I6" s="92">
        <f>1508+104+2652+4515.3+6760</f>
        <v>15539.3</v>
      </c>
      <c r="J6" s="92">
        <f>3016+5304+6760+7280+6760</f>
        <v>29120</v>
      </c>
      <c r="K6" s="92">
        <f>2652+104+11440+1508</f>
        <v>15704</v>
      </c>
      <c r="L6" s="92">
        <f>104+1508+2652+6760+11440</f>
        <v>22464</v>
      </c>
      <c r="M6" s="92">
        <f>103.86+2648.47+6049+11424.79+1523</f>
        <v>21749.120000000003</v>
      </c>
      <c r="N6" s="99">
        <f>107.52+2741.85+3065.09+4820+11827.57+9048</f>
        <v>31610.03</v>
      </c>
      <c r="O6" s="92">
        <f>1352+83.62+1212.45+2132.23+9197.87+3135</f>
        <v>17113.169999999998</v>
      </c>
      <c r="P6" s="99">
        <f>6696+103.01+1493.64+2408.84+11331.05+2006</f>
        <v>24038.54</v>
      </c>
      <c r="Q6" s="80">
        <f>111.35+1614.62+2839.51+5232+12248.86+330+135</f>
        <v>22511.34</v>
      </c>
      <c r="R6" s="87">
        <f>100.77+1461.16+2569.63+6085+11084.68+662</f>
        <v>21963.24</v>
      </c>
      <c r="S6" s="81">
        <v>21960.799999999999</v>
      </c>
      <c r="T6" s="40">
        <f>SUM(G6:S6)</f>
        <v>266237.53999999998</v>
      </c>
      <c r="U6" s="89">
        <f t="shared" si="1"/>
        <v>3330.460000000021</v>
      </c>
    </row>
    <row r="7" spans="1:21" ht="13.5" thickBot="1">
      <c r="A7" s="74">
        <v>3</v>
      </c>
      <c r="B7" s="71" t="s">
        <v>6</v>
      </c>
      <c r="C7" s="58">
        <f>D7/D18</f>
        <v>0</v>
      </c>
      <c r="D7" s="31">
        <f t="shared" si="0"/>
        <v>0</v>
      </c>
      <c r="E7" s="35">
        <v>0</v>
      </c>
      <c r="F7" s="91"/>
      <c r="G7" s="91"/>
      <c r="H7" s="97"/>
      <c r="I7" s="91"/>
      <c r="J7" s="91"/>
      <c r="K7" s="91"/>
      <c r="L7" s="91"/>
      <c r="M7" s="91"/>
      <c r="N7" s="97"/>
      <c r="O7" s="91"/>
      <c r="P7" s="97"/>
      <c r="Q7" s="81"/>
      <c r="R7" s="86"/>
      <c r="S7" s="81"/>
      <c r="T7" s="26">
        <f>SUM(G7:S7)</f>
        <v>0</v>
      </c>
      <c r="U7" s="88">
        <f t="shared" si="1"/>
        <v>0</v>
      </c>
    </row>
    <row r="8" spans="1:21" s="5" customFormat="1" ht="13.5" thickBot="1">
      <c r="A8" s="75">
        <v>4</v>
      </c>
      <c r="B8" s="71" t="s">
        <v>27</v>
      </c>
      <c r="C8" s="58">
        <f>D8/D18</f>
        <v>9.0314620010267764E-3</v>
      </c>
      <c r="D8" s="31">
        <f t="shared" si="0"/>
        <v>225</v>
      </c>
      <c r="E8" s="69">
        <v>2700</v>
      </c>
      <c r="F8" s="91"/>
      <c r="G8" s="91">
        <v>2700</v>
      </c>
      <c r="H8" s="97"/>
      <c r="I8" s="91"/>
      <c r="J8" s="91"/>
      <c r="K8" s="91"/>
      <c r="L8" s="91"/>
      <c r="M8" s="91"/>
      <c r="N8" s="97"/>
      <c r="O8" s="91"/>
      <c r="P8" s="97"/>
      <c r="Q8" s="81"/>
      <c r="R8" s="86"/>
      <c r="S8" s="81"/>
      <c r="T8" s="40">
        <f t="shared" ref="T8:T14" si="2">SUM(G8:S8)</f>
        <v>2700</v>
      </c>
      <c r="U8" s="88">
        <f t="shared" si="1"/>
        <v>0</v>
      </c>
    </row>
    <row r="9" spans="1:21" s="5" customFormat="1" ht="13.5" thickBot="1">
      <c r="A9" s="70">
        <v>5</v>
      </c>
      <c r="B9" s="65" t="s">
        <v>48</v>
      </c>
      <c r="C9" s="59">
        <f>D9/D18</f>
        <v>6.0209746673511845E-2</v>
      </c>
      <c r="D9" s="32">
        <f t="shared" si="0"/>
        <v>1500</v>
      </c>
      <c r="E9" s="36">
        <v>18000</v>
      </c>
      <c r="F9" s="92"/>
      <c r="G9" s="92"/>
      <c r="H9" s="99">
        <v>18000</v>
      </c>
      <c r="I9" s="92"/>
      <c r="J9" s="92"/>
      <c r="K9" s="92"/>
      <c r="L9" s="92"/>
      <c r="M9" s="92"/>
      <c r="N9" s="99"/>
      <c r="O9" s="92"/>
      <c r="P9" s="99"/>
      <c r="Q9" s="80"/>
      <c r="R9" s="87"/>
      <c r="S9" s="80"/>
      <c r="T9" s="26">
        <f t="shared" si="2"/>
        <v>18000</v>
      </c>
      <c r="U9" s="89">
        <f t="shared" si="1"/>
        <v>0</v>
      </c>
    </row>
    <row r="10" spans="1:21" ht="13.5" thickBot="1">
      <c r="A10" s="76">
        <v>6</v>
      </c>
      <c r="B10" s="72" t="s">
        <v>40</v>
      </c>
      <c r="C10" s="60">
        <f>D10/D18</f>
        <v>1.2246026926066311</v>
      </c>
      <c r="D10" s="41">
        <f t="shared" si="0"/>
        <v>30508.416666666668</v>
      </c>
      <c r="E10" s="42">
        <v>366101</v>
      </c>
      <c r="F10" s="91">
        <v>30000</v>
      </c>
      <c r="G10" s="100"/>
      <c r="H10" s="97">
        <v>30508.560000000001</v>
      </c>
      <c r="I10" s="91">
        <v>30508.560000000001</v>
      </c>
      <c r="J10" s="91">
        <v>30508.560000000001</v>
      </c>
      <c r="K10" s="91">
        <v>30508.560000000001</v>
      </c>
      <c r="L10" s="91">
        <v>30508.560000000001</v>
      </c>
      <c r="M10" s="91">
        <v>30508.560000000001</v>
      </c>
      <c r="N10" s="97"/>
      <c r="O10" s="91">
        <f>30508.56+30508.56</f>
        <v>61017.120000000003</v>
      </c>
      <c r="P10" s="97">
        <v>30508.560000000001</v>
      </c>
      <c r="Q10" s="81">
        <v>30508.560000000001</v>
      </c>
      <c r="R10" s="86">
        <v>30508.560000000001</v>
      </c>
      <c r="S10" s="81">
        <v>30508.560000000001</v>
      </c>
      <c r="T10" s="40">
        <f t="shared" si="2"/>
        <v>366102.72000000003</v>
      </c>
      <c r="U10" s="88">
        <f t="shared" si="1"/>
        <v>-1.720000000030268</v>
      </c>
    </row>
    <row r="11" spans="1:21" ht="13.5" thickBot="1">
      <c r="A11" s="76">
        <v>7</v>
      </c>
      <c r="B11" s="65" t="s">
        <v>41</v>
      </c>
      <c r="C11" s="59">
        <f>D11/D18</f>
        <v>0.15052436668377961</v>
      </c>
      <c r="D11" s="32">
        <f t="shared" si="0"/>
        <v>3750</v>
      </c>
      <c r="E11" s="39">
        <v>45000</v>
      </c>
      <c r="F11" s="92"/>
      <c r="G11" s="92"/>
      <c r="H11" s="99"/>
      <c r="I11" s="92"/>
      <c r="J11" s="92"/>
      <c r="K11" s="92"/>
      <c r="L11" s="92">
        <v>10031.219999999999</v>
      </c>
      <c r="M11" s="92"/>
      <c r="N11" s="97"/>
      <c r="O11" s="92"/>
      <c r="P11" s="99"/>
      <c r="Q11" s="80"/>
      <c r="R11" s="87"/>
      <c r="S11" s="80"/>
      <c r="T11" s="26">
        <f t="shared" si="2"/>
        <v>10031.219999999999</v>
      </c>
      <c r="U11" s="90">
        <f t="shared" si="1"/>
        <v>34968.78</v>
      </c>
    </row>
    <row r="12" spans="1:21" ht="13.5" thickBot="1">
      <c r="A12" s="76">
        <v>8</v>
      </c>
      <c r="B12" s="71" t="s">
        <v>37</v>
      </c>
      <c r="C12" s="58">
        <f>D12/D18</f>
        <v>6.689971852612428E-2</v>
      </c>
      <c r="D12" s="31">
        <f t="shared" si="0"/>
        <v>1666.6666666666667</v>
      </c>
      <c r="E12" s="35">
        <v>20000</v>
      </c>
      <c r="F12" s="91"/>
      <c r="G12" s="91"/>
      <c r="H12" s="97"/>
      <c r="I12" s="91"/>
      <c r="J12" s="91"/>
      <c r="K12" s="91"/>
      <c r="L12" s="91"/>
      <c r="M12" s="91"/>
      <c r="N12" s="97"/>
      <c r="O12" s="91"/>
      <c r="P12" s="97"/>
      <c r="Q12" s="81"/>
      <c r="R12" s="86"/>
      <c r="S12" s="81"/>
      <c r="T12" s="40">
        <f t="shared" si="2"/>
        <v>0</v>
      </c>
      <c r="U12" s="88">
        <f t="shared" si="1"/>
        <v>20000</v>
      </c>
    </row>
    <row r="13" spans="1:21" ht="13.5" thickBot="1">
      <c r="A13" s="77">
        <v>9</v>
      </c>
      <c r="B13" s="65" t="s">
        <v>39</v>
      </c>
      <c r="C13" s="61">
        <f>D13/D18</f>
        <v>1.672492963153107E-2</v>
      </c>
      <c r="D13" s="32">
        <f t="shared" si="0"/>
        <v>416.66666666666669</v>
      </c>
      <c r="E13" s="39">
        <v>5000</v>
      </c>
      <c r="F13" s="92"/>
      <c r="G13" s="92"/>
      <c r="H13" s="99"/>
      <c r="I13" s="92"/>
      <c r="J13" s="92"/>
      <c r="K13" s="92"/>
      <c r="L13" s="92"/>
      <c r="M13" s="92"/>
      <c r="N13" s="99"/>
      <c r="O13" s="92"/>
      <c r="P13" s="99"/>
      <c r="Q13" s="80"/>
      <c r="R13" s="87"/>
      <c r="S13" s="80"/>
      <c r="T13" s="26">
        <f t="shared" si="2"/>
        <v>0</v>
      </c>
      <c r="U13" s="90">
        <f t="shared" si="1"/>
        <v>5000</v>
      </c>
    </row>
    <row r="14" spans="1:21" ht="13.5" thickBot="1">
      <c r="A14" s="74">
        <v>10</v>
      </c>
      <c r="B14" s="67" t="s">
        <v>45</v>
      </c>
      <c r="C14" s="58">
        <f>D14/D18</f>
        <v>1.003495777891864E-2</v>
      </c>
      <c r="D14" s="31">
        <f t="shared" si="0"/>
        <v>250</v>
      </c>
      <c r="E14" s="8">
        <v>3000</v>
      </c>
      <c r="F14" s="97">
        <v>250</v>
      </c>
      <c r="G14" s="91">
        <v>20</v>
      </c>
      <c r="H14" s="97">
        <v>270</v>
      </c>
      <c r="I14" s="91">
        <v>270</v>
      </c>
      <c r="J14" s="91">
        <v>270</v>
      </c>
      <c r="K14" s="91">
        <v>270</v>
      </c>
      <c r="L14" s="91">
        <v>270</v>
      </c>
      <c r="M14" s="91">
        <v>270</v>
      </c>
      <c r="N14" s="91">
        <v>270</v>
      </c>
      <c r="O14" s="91">
        <v>270</v>
      </c>
      <c r="P14" s="91">
        <v>270</v>
      </c>
      <c r="Q14" s="86">
        <v>270</v>
      </c>
      <c r="R14" s="81">
        <v>270</v>
      </c>
      <c r="S14" s="105"/>
      <c r="T14" s="9">
        <f t="shared" si="2"/>
        <v>2990</v>
      </c>
      <c r="U14" s="88">
        <f t="shared" si="1"/>
        <v>10</v>
      </c>
    </row>
    <row r="15" spans="1:21" ht="13.5" thickBot="1">
      <c r="A15" s="78">
        <v>11</v>
      </c>
      <c r="B15" s="71" t="s">
        <v>7</v>
      </c>
      <c r="C15" s="58">
        <f>D15/D18</f>
        <v>2.4542161741308688E-2</v>
      </c>
      <c r="D15" s="31">
        <f t="shared" si="0"/>
        <v>611.41666666666663</v>
      </c>
      <c r="E15" s="8">
        <f>3876+3461</f>
        <v>7337</v>
      </c>
      <c r="F15" s="91"/>
      <c r="G15" s="91"/>
      <c r="H15" s="97"/>
      <c r="I15" s="91"/>
      <c r="J15" s="91"/>
      <c r="K15" s="91"/>
      <c r="L15" s="91"/>
      <c r="M15" s="91"/>
      <c r="N15" s="97"/>
      <c r="O15" s="91"/>
      <c r="P15" s="97"/>
      <c r="Q15" s="81"/>
      <c r="R15" s="86"/>
      <c r="S15" s="81"/>
      <c r="T15" s="26">
        <f t="shared" ref="T15" si="3">SUM(G15:S15)</f>
        <v>0</v>
      </c>
      <c r="U15" s="9">
        <f>E15-T15</f>
        <v>7337</v>
      </c>
    </row>
    <row r="16" spans="1:21" ht="13.5" thickBot="1">
      <c r="A16" s="116" t="s">
        <v>8</v>
      </c>
      <c r="B16" s="117"/>
      <c r="C16" s="33">
        <f t="shared" ref="C16:I16" si="4">SUM(C5:C15)</f>
        <v>4.2801971614984611</v>
      </c>
      <c r="D16" s="45">
        <f t="shared" si="4"/>
        <v>106632.16666666669</v>
      </c>
      <c r="E16" s="45">
        <f t="shared" si="4"/>
        <v>1279586</v>
      </c>
      <c r="F16" s="101">
        <f>SUM(F5:F15)</f>
        <v>39859.42</v>
      </c>
      <c r="G16" s="102">
        <f>SUM(G5:G15)</f>
        <v>23600</v>
      </c>
      <c r="H16" s="103">
        <f t="shared" si="4"/>
        <v>118222.56</v>
      </c>
      <c r="I16" s="104">
        <f t="shared" si="4"/>
        <v>91557.86</v>
      </c>
      <c r="J16" s="103">
        <f t="shared" ref="J16:S16" si="5">SUM(J5:J15)</f>
        <v>127758.56</v>
      </c>
      <c r="K16" s="104">
        <f t="shared" si="5"/>
        <v>69102.559999999998</v>
      </c>
      <c r="L16" s="103">
        <f t="shared" si="5"/>
        <v>108692.34</v>
      </c>
      <c r="M16" s="104">
        <f t="shared" si="5"/>
        <v>104971.41</v>
      </c>
      <c r="N16" s="103">
        <f t="shared" si="5"/>
        <v>81382.649999999994</v>
      </c>
      <c r="O16" s="104">
        <f t="shared" si="5"/>
        <v>114246.38</v>
      </c>
      <c r="P16" s="103">
        <f t="shared" si="5"/>
        <v>106148.81</v>
      </c>
      <c r="Q16" s="55">
        <f t="shared" si="5"/>
        <v>86643.3</v>
      </c>
      <c r="R16" s="54">
        <f t="shared" si="5"/>
        <v>123293.72</v>
      </c>
      <c r="S16" s="53">
        <f t="shared" si="5"/>
        <v>52469.36</v>
      </c>
      <c r="T16" s="10">
        <f>SUM(G16:S16)</f>
        <v>1208089.5100000002</v>
      </c>
      <c r="U16" s="10">
        <f>SUM(U5:U15)</f>
        <v>71496.489999999962</v>
      </c>
    </row>
    <row r="17" spans="1:21" s="5" customFormat="1" ht="12.6" customHeight="1"/>
    <row r="18" spans="1:21">
      <c r="A18" s="109" t="s">
        <v>50</v>
      </c>
      <c r="B18" s="109"/>
      <c r="C18" s="15"/>
      <c r="D18" s="106">
        <v>24912.91</v>
      </c>
      <c r="E18" s="2" t="s">
        <v>10</v>
      </c>
      <c r="F18" s="2"/>
      <c r="T18" s="82"/>
      <c r="U18" s="82"/>
    </row>
    <row r="19" spans="1:21">
      <c r="A19" s="15"/>
      <c r="B19" s="15"/>
      <c r="C19" s="15"/>
      <c r="D19" s="1"/>
      <c r="E19" s="2"/>
      <c r="F19" s="2"/>
    </row>
    <row r="20" spans="1:21">
      <c r="A20" s="109" t="s">
        <v>30</v>
      </c>
      <c r="B20" s="109"/>
      <c r="C20" s="15"/>
      <c r="D20" s="18">
        <v>2433.7600000000002</v>
      </c>
      <c r="E20" s="19" t="s">
        <v>10</v>
      </c>
      <c r="F20" s="19"/>
      <c r="I20" s="107"/>
      <c r="J20" s="107"/>
      <c r="K20" s="107"/>
      <c r="L20" s="108"/>
      <c r="M20" s="107"/>
      <c r="N20" s="107"/>
      <c r="O20" s="107"/>
      <c r="P20" s="107"/>
      <c r="Q20" s="107"/>
    </row>
    <row r="21" spans="1:21">
      <c r="A21" s="109" t="s">
        <v>31</v>
      </c>
      <c r="B21" s="109"/>
      <c r="C21" s="15"/>
      <c r="D21" s="18">
        <f>D18-D20</f>
        <v>22479.15</v>
      </c>
      <c r="E21" s="19" t="s">
        <v>10</v>
      </c>
      <c r="F21" s="19"/>
    </row>
    <row r="22" spans="1:21" s="5" customFormat="1" ht="11.25"/>
    <row r="23" spans="1:21">
      <c r="A23" s="110" t="s">
        <v>54</v>
      </c>
      <c r="B23" s="110"/>
      <c r="C23" s="14"/>
    </row>
    <row r="24" spans="1:21">
      <c r="A24" s="110" t="s">
        <v>49</v>
      </c>
      <c r="B24" s="110"/>
      <c r="C24" s="14"/>
      <c r="D24" s="22"/>
      <c r="E24" s="19"/>
      <c r="F24" s="19"/>
    </row>
    <row r="25" spans="1:21">
      <c r="B25" s="21" t="s">
        <v>32</v>
      </c>
      <c r="C25" s="20"/>
      <c r="D25" s="23">
        <f>D16/(D20+2*D21)</f>
        <v>2.2500006681850646</v>
      </c>
      <c r="E25" s="2" t="s">
        <v>11</v>
      </c>
      <c r="F25" s="2"/>
    </row>
    <row r="26" spans="1:21">
      <c r="B26" s="21" t="s">
        <v>33</v>
      </c>
      <c r="C26" s="21"/>
      <c r="D26" s="23">
        <f>2*D25</f>
        <v>4.5000013363701292</v>
      </c>
      <c r="E26" s="2" t="s">
        <v>11</v>
      </c>
      <c r="F26" s="2"/>
    </row>
  </sheetData>
  <sheetProtection password="8515" sheet="1" objects="1" scenarios="1" selectLockedCells="1" selectUnlockedCells="1"/>
  <mergeCells count="10">
    <mergeCell ref="A1:E1"/>
    <mergeCell ref="A2:E2"/>
    <mergeCell ref="A3:E3"/>
    <mergeCell ref="A16:B16"/>
    <mergeCell ref="A18:B18"/>
    <mergeCell ref="A20:B20"/>
    <mergeCell ref="A23:B23"/>
    <mergeCell ref="A24:B24"/>
    <mergeCell ref="A21:B21"/>
    <mergeCell ref="G3:R3"/>
  </mergeCells>
  <phoneticPr fontId="3" type="noConversion"/>
  <pageMargins left="0.19685039370078741" right="0.19685039370078741" top="0.78740157480314965" bottom="0.78740157480314965" header="0.51181102362204722" footer="0.51181102362204722"/>
  <pageSetup paperSize="9" scale="58" firstPageNumber="0" orientation="landscape" horizontalDpi="300" verticalDpi="300" r:id="rId1"/>
  <headerFooter alignWithMargins="0"/>
  <ignoredErrors>
    <ignoredError sqref="T5:T6 T8 T10 T14" formulaRange="1"/>
    <ignoredError sqref="T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selection activeCell="C1" sqref="C1:E1"/>
    </sheetView>
  </sheetViews>
  <sheetFormatPr defaultRowHeight="12.75"/>
  <cols>
    <col min="1" max="1" width="6.42578125" customWidth="1"/>
    <col min="2" max="2" width="76.85546875" customWidth="1"/>
  </cols>
  <sheetData>
    <row r="1" spans="1:5" ht="57.6" customHeight="1">
      <c r="C1" s="120" t="s">
        <v>47</v>
      </c>
      <c r="D1" s="120"/>
      <c r="E1" s="120"/>
    </row>
    <row r="2" spans="1:5">
      <c r="A2" s="114" t="s">
        <v>0</v>
      </c>
      <c r="B2" s="114"/>
      <c r="C2" s="114"/>
      <c r="D2" s="114"/>
      <c r="E2" s="114"/>
    </row>
    <row r="3" spans="1:5">
      <c r="A3" s="114" t="s">
        <v>42</v>
      </c>
      <c r="B3" s="114"/>
      <c r="C3" s="114"/>
      <c r="D3" s="114"/>
      <c r="E3" s="114"/>
    </row>
    <row r="4" spans="1:5" ht="13.5" thickBot="1">
      <c r="A4" s="115"/>
      <c r="B4" s="115"/>
      <c r="C4" s="115"/>
      <c r="D4" s="115"/>
      <c r="E4" s="115"/>
    </row>
    <row r="5" spans="1:5" ht="51.75" thickBot="1">
      <c r="A5" s="4" t="s">
        <v>1</v>
      </c>
      <c r="B5" s="63" t="s">
        <v>2</v>
      </c>
      <c r="C5" s="57" t="s">
        <v>26</v>
      </c>
      <c r="D5" s="49" t="s">
        <v>3</v>
      </c>
      <c r="E5" s="7" t="s">
        <v>4</v>
      </c>
    </row>
    <row r="6" spans="1:5" ht="13.5" thickBot="1">
      <c r="A6" s="37">
        <v>1</v>
      </c>
      <c r="B6" s="64" t="s">
        <v>46</v>
      </c>
      <c r="C6" s="58">
        <f>D6/D19</f>
        <v>1.3276042084973094</v>
      </c>
      <c r="D6" s="31">
        <f t="shared" ref="D6:D16" si="0">E6/12</f>
        <v>33060</v>
      </c>
      <c r="E6" s="35">
        <v>396720</v>
      </c>
    </row>
    <row r="7" spans="1:5" ht="13.5" thickBot="1">
      <c r="A7" s="13">
        <v>2</v>
      </c>
      <c r="B7" s="65" t="s">
        <v>5</v>
      </c>
      <c r="C7" s="59">
        <f>D7/D19</f>
        <v>0.50662597381736407</v>
      </c>
      <c r="D7" s="32">
        <f t="shared" si="0"/>
        <v>12616</v>
      </c>
      <c r="E7" s="39">
        <v>151392</v>
      </c>
    </row>
    <row r="8" spans="1:5" ht="13.5" thickBot="1">
      <c r="A8" s="38">
        <v>3</v>
      </c>
      <c r="B8" s="64" t="s">
        <v>6</v>
      </c>
      <c r="C8" s="58">
        <f>D8/D19</f>
        <v>1.5059031403100153E-2</v>
      </c>
      <c r="D8" s="31">
        <f t="shared" si="0"/>
        <v>375</v>
      </c>
      <c r="E8" s="35">
        <v>4500</v>
      </c>
    </row>
    <row r="9" spans="1:5" ht="13.5" thickBot="1">
      <c r="A9" s="17">
        <v>4</v>
      </c>
      <c r="B9" s="65" t="s">
        <v>27</v>
      </c>
      <c r="C9" s="59">
        <f>D9/D19</f>
        <v>5.4212513051160552E-2</v>
      </c>
      <c r="D9" s="32">
        <f t="shared" si="0"/>
        <v>1350</v>
      </c>
      <c r="E9" s="36">
        <v>16200</v>
      </c>
    </row>
    <row r="10" spans="1:5" ht="13.5" thickBot="1">
      <c r="A10" s="30">
        <v>5</v>
      </c>
      <c r="B10" s="66" t="s">
        <v>40</v>
      </c>
      <c r="C10" s="60">
        <f>D10/D19</f>
        <v>1.1324391615131315</v>
      </c>
      <c r="D10" s="41">
        <f t="shared" si="0"/>
        <v>28200</v>
      </c>
      <c r="E10" s="42">
        <v>338400</v>
      </c>
    </row>
    <row r="11" spans="1:5" ht="13.5" thickBot="1">
      <c r="A11" s="12">
        <v>6</v>
      </c>
      <c r="B11" s="65" t="s">
        <v>41</v>
      </c>
      <c r="C11" s="59">
        <f>D11/D19</f>
        <v>0.10708644553315663</v>
      </c>
      <c r="D11" s="32">
        <f t="shared" si="0"/>
        <v>2666.6666666666665</v>
      </c>
      <c r="E11" s="39">
        <v>32000</v>
      </c>
    </row>
    <row r="12" spans="1:5" ht="13.5" thickBot="1">
      <c r="A12" s="30">
        <v>7</v>
      </c>
      <c r="B12" s="64" t="s">
        <v>37</v>
      </c>
      <c r="C12" s="58">
        <f>D12/D19</f>
        <v>8.0314834149867481E-2</v>
      </c>
      <c r="D12" s="31">
        <f t="shared" si="0"/>
        <v>2000</v>
      </c>
      <c r="E12" s="35">
        <v>24000</v>
      </c>
    </row>
    <row r="13" spans="1:5" ht="13.5" thickBot="1">
      <c r="A13" s="25">
        <v>8</v>
      </c>
      <c r="B13" s="65" t="s">
        <v>39</v>
      </c>
      <c r="C13" s="61">
        <f>D13/D19</f>
        <v>2.5098385671833586E-2</v>
      </c>
      <c r="D13" s="32">
        <f t="shared" si="0"/>
        <v>625</v>
      </c>
      <c r="E13" s="39">
        <v>7500</v>
      </c>
    </row>
    <row r="14" spans="1:5" ht="13.5" thickBot="1">
      <c r="A14" s="38">
        <v>9</v>
      </c>
      <c r="B14" s="67" t="s">
        <v>28</v>
      </c>
      <c r="C14" s="62">
        <f>D14/D19</f>
        <v>0.33464514229111453</v>
      </c>
      <c r="D14" s="31">
        <f t="shared" si="0"/>
        <v>8333.3333333333339</v>
      </c>
      <c r="E14" s="8">
        <v>100000</v>
      </c>
    </row>
    <row r="15" spans="1:5" ht="13.5" thickBot="1">
      <c r="A15" s="11">
        <v>10</v>
      </c>
      <c r="B15" s="68" t="s">
        <v>45</v>
      </c>
      <c r="C15" s="59">
        <f>D15/D19</f>
        <v>1.0039354268733435E-2</v>
      </c>
      <c r="D15" s="32">
        <f t="shared" si="0"/>
        <v>250</v>
      </c>
      <c r="E15" s="44">
        <v>3000</v>
      </c>
    </row>
    <row r="16" spans="1:5" ht="13.5" thickBot="1">
      <c r="A16" s="43">
        <v>11</v>
      </c>
      <c r="B16" s="64" t="s">
        <v>7</v>
      </c>
      <c r="C16" s="58">
        <f>D16/D19</f>
        <v>1.6732257114555726E-2</v>
      </c>
      <c r="D16" s="31">
        <f t="shared" si="0"/>
        <v>416.66666666666669</v>
      </c>
      <c r="E16" s="8">
        <v>5000</v>
      </c>
    </row>
    <row r="17" spans="1:5" ht="13.5" thickBot="1">
      <c r="A17" s="118" t="s">
        <v>8</v>
      </c>
      <c r="B17" s="117"/>
      <c r="C17" s="33">
        <f>SUM(C6:C16)</f>
        <v>3.6098573073113269</v>
      </c>
      <c r="D17" s="45">
        <f>SUM(D6:D16)</f>
        <v>89892.666666666672</v>
      </c>
      <c r="E17" s="34">
        <f>SUM(E6:E16)</f>
        <v>1078712</v>
      </c>
    </row>
    <row r="18" spans="1:5">
      <c r="A18" s="5"/>
      <c r="B18" s="5"/>
      <c r="C18" s="5"/>
      <c r="D18" s="5"/>
      <c r="E18" s="5"/>
    </row>
    <row r="19" spans="1:5">
      <c r="A19" s="109" t="s">
        <v>9</v>
      </c>
      <c r="B19" s="109"/>
      <c r="C19" s="15"/>
      <c r="D19" s="1">
        <v>24902</v>
      </c>
      <c r="E19" s="2" t="s">
        <v>10</v>
      </c>
    </row>
    <row r="20" spans="1:5">
      <c r="A20" s="15"/>
      <c r="B20" s="15"/>
      <c r="C20" s="15"/>
      <c r="D20" s="1"/>
      <c r="E20" s="2"/>
    </row>
    <row r="21" spans="1:5">
      <c r="A21" s="109" t="s">
        <v>30</v>
      </c>
      <c r="B21" s="109"/>
      <c r="C21" s="15"/>
      <c r="D21" s="18">
        <v>2490</v>
      </c>
      <c r="E21" s="19" t="s">
        <v>10</v>
      </c>
    </row>
    <row r="22" spans="1:5">
      <c r="A22" s="109" t="s">
        <v>31</v>
      </c>
      <c r="B22" s="109"/>
      <c r="C22" s="15"/>
      <c r="D22" s="18">
        <f>D21*9</f>
        <v>22410</v>
      </c>
      <c r="E22" s="19" t="s">
        <v>10</v>
      </c>
    </row>
    <row r="23" spans="1:5">
      <c r="A23" s="5"/>
      <c r="B23" s="5"/>
      <c r="C23" s="5"/>
      <c r="D23" s="5"/>
      <c r="E23" s="5"/>
    </row>
    <row r="24" spans="1:5">
      <c r="A24" s="110" t="s">
        <v>44</v>
      </c>
      <c r="B24" s="110"/>
      <c r="C24" s="14"/>
    </row>
    <row r="25" spans="1:5">
      <c r="A25" s="110" t="s">
        <v>29</v>
      </c>
      <c r="B25" s="110"/>
      <c r="C25" s="14"/>
      <c r="D25" s="22">
        <f>D17/D19</f>
        <v>3.6098573073113274</v>
      </c>
      <c r="E25" s="19" t="s">
        <v>11</v>
      </c>
    </row>
    <row r="26" spans="1:5">
      <c r="B26" s="21" t="s">
        <v>32</v>
      </c>
      <c r="C26" s="20"/>
      <c r="D26" s="23">
        <f>D17/(D21+2*D22)</f>
        <v>1.9000775029944339</v>
      </c>
      <c r="E26" s="2" t="s">
        <v>11</v>
      </c>
    </row>
    <row r="27" spans="1:5">
      <c r="B27" s="21" t="s">
        <v>33</v>
      </c>
      <c r="C27" s="21"/>
      <c r="D27" s="23">
        <f>2*D26</f>
        <v>3.8001550059888678</v>
      </c>
      <c r="E27" s="2" t="s">
        <v>11</v>
      </c>
    </row>
    <row r="31" spans="1:5">
      <c r="A31" s="114" t="s">
        <v>43</v>
      </c>
      <c r="B31" s="114"/>
      <c r="C31" s="114"/>
      <c r="D31" s="114"/>
      <c r="E31" s="114"/>
    </row>
    <row r="32" spans="1:5" ht="13.5" thickBot="1">
      <c r="A32" s="115"/>
      <c r="B32" s="115"/>
      <c r="C32" s="115"/>
      <c r="D32" s="115"/>
      <c r="E32" s="115"/>
    </row>
    <row r="33" spans="1:5" ht="51.75" thickBot="1">
      <c r="A33" s="4" t="s">
        <v>1</v>
      </c>
      <c r="B33" s="50" t="s">
        <v>2</v>
      </c>
      <c r="C33" s="56" t="s">
        <v>26</v>
      </c>
      <c r="D33" s="50" t="s">
        <v>3</v>
      </c>
      <c r="E33" s="57" t="s">
        <v>4</v>
      </c>
    </row>
    <row r="34" spans="1:5" ht="13.5" thickBot="1">
      <c r="A34" s="38">
        <v>1</v>
      </c>
      <c r="B34" s="46" t="s">
        <v>34</v>
      </c>
      <c r="C34" s="16">
        <f>D34/D39</f>
        <v>1.1064629562265067</v>
      </c>
      <c r="D34" s="6">
        <f>E34/12</f>
        <v>27375</v>
      </c>
      <c r="E34" s="8">
        <v>328500</v>
      </c>
    </row>
    <row r="35" spans="1:5" ht="13.5" thickBot="1">
      <c r="A35" s="11">
        <v>2</v>
      </c>
      <c r="B35" s="3" t="s">
        <v>38</v>
      </c>
      <c r="C35" s="16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>
      <c r="A36" s="47">
        <v>3</v>
      </c>
      <c r="B36" s="46" t="s">
        <v>35</v>
      </c>
      <c r="C36" s="16">
        <f>D36/D39</f>
        <v>0.14146558344448487</v>
      </c>
      <c r="D36" s="6">
        <f>E36/12</f>
        <v>3500</v>
      </c>
      <c r="E36" s="48">
        <v>42000</v>
      </c>
    </row>
    <row r="37" spans="1:5" ht="13.5" thickBot="1">
      <c r="A37" s="118" t="s">
        <v>8</v>
      </c>
      <c r="B37" s="119"/>
      <c r="C37" s="33">
        <f>SUM(C34:C36)</f>
        <v>1.3698583996874285</v>
      </c>
      <c r="D37" s="45">
        <f>SUM(D34:D36)</f>
        <v>33891.666666666672</v>
      </c>
      <c r="E37" s="34">
        <f>SUM(E34:E36)</f>
        <v>406700</v>
      </c>
    </row>
    <row r="38" spans="1:5">
      <c r="A38" s="5"/>
      <c r="B38" s="5"/>
      <c r="C38" s="5"/>
      <c r="D38" s="5"/>
      <c r="E38" s="5"/>
    </row>
    <row r="39" spans="1:5">
      <c r="A39" s="109" t="s">
        <v>9</v>
      </c>
      <c r="B39" s="109"/>
      <c r="C39" s="15"/>
      <c r="D39" s="1">
        <v>24741</v>
      </c>
      <c r="E39" s="2" t="s">
        <v>10</v>
      </c>
    </row>
    <row r="40" spans="1:5">
      <c r="A40" s="15"/>
      <c r="B40" s="15"/>
      <c r="C40" s="15"/>
      <c r="D40" s="1"/>
      <c r="E40" s="2"/>
    </row>
    <row r="42" spans="1:5">
      <c r="A42" s="110" t="s">
        <v>44</v>
      </c>
      <c r="B42" s="110"/>
      <c r="C42" s="14"/>
    </row>
    <row r="43" spans="1:5">
      <c r="A43" s="110" t="s">
        <v>36</v>
      </c>
      <c r="B43" s="110"/>
      <c r="C43" s="14"/>
      <c r="D43" s="24">
        <f>D37/D39</f>
        <v>1.3698583996874287</v>
      </c>
      <c r="E43" s="2" t="s">
        <v>11</v>
      </c>
    </row>
  </sheetData>
  <mergeCells count="16"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  <mergeCell ref="A39:B39"/>
    <mergeCell ref="A42:B42"/>
    <mergeCell ref="A43:B43"/>
    <mergeCell ref="A31:E31"/>
    <mergeCell ref="A32:E32"/>
    <mergeCell ref="A37:B37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Максим</cp:lastModifiedBy>
  <cp:lastPrinted>2020-01-16T14:31:59Z</cp:lastPrinted>
  <dcterms:created xsi:type="dcterms:W3CDTF">2010-01-09T09:21:13Z</dcterms:created>
  <dcterms:modified xsi:type="dcterms:W3CDTF">2020-01-23T12:04:46Z</dcterms:modified>
</cp:coreProperties>
</file>