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Смета" sheetId="1" r:id="rId1"/>
    <sheet name="Без поставщиков" sheetId="2" r:id="rId2"/>
    <sheet name="Общий" sheetId="3" r:id="rId3"/>
    <sheet name="Отчет о совместимости" sheetId="4" r:id="rId4"/>
  </sheets>
  <definedNames>
    <definedName name="_xlnm.Print_Area" localSheetId="0">'Смета'!$A$1:$E$76</definedName>
  </definedNames>
  <calcPr fullCalcOnLoad="1" refMode="R1C1"/>
</workbook>
</file>

<file path=xl/comments1.xml><?xml version="1.0" encoding="utf-8"?>
<comments xmlns="http://schemas.openxmlformats.org/spreadsheetml/2006/main">
  <authors>
    <author>Админ</author>
  </authors>
  <commentList>
    <comment ref="K68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Ремонт фотоаппарата
</t>
        </r>
      </text>
    </comment>
    <comment ref="G68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Юстиция
</t>
        </r>
      </text>
    </comment>
    <comment ref="I29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Куртка, брюки,костюм 07.03.12 по 1 шт
</t>
        </r>
      </text>
    </comment>
    <comment ref="I39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СБ Арсенал - 18344, доводчик на дверь - 2523
</t>
        </r>
      </text>
    </comment>
    <comment ref="K66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бикрост, мастика, макловица
</t>
        </r>
      </text>
    </comment>
    <comment ref="L34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Поверка манометров
</t>
        </r>
      </text>
    </comment>
    <comment ref="L65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Проверка трехфазного тока МРСК Юга
</t>
        </r>
      </text>
    </comment>
    <comment ref="N65" authorId="0">
      <text>
        <r>
          <rPr>
            <b/>
            <sz val="9"/>
            <rFont val="Tahoma"/>
            <family val="0"/>
          </rPr>
          <t>Админ:</t>
        </r>
        <r>
          <rPr>
            <sz val="9"/>
            <rFont val="Tahoma"/>
            <family val="0"/>
          </rPr>
          <t xml:space="preserve">
Поверка Строба,
Тепловычмслитель Строб
</t>
        </r>
      </text>
    </comment>
  </commentList>
</comments>
</file>

<file path=xl/sharedStrings.xml><?xml version="1.0" encoding="utf-8"?>
<sst xmlns="http://schemas.openxmlformats.org/spreadsheetml/2006/main" count="191" uniqueCount="170">
  <si>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</si>
  <si>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</si>
  <si>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</si>
  <si>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</si>
  <si>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</si>
  <si>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Фонд оплаты труда с начислениями обслуживающему персоналу с НДФЛ</t>
  </si>
  <si>
    <t>Налоговые и иные обязательные платежи с ФОТ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</si>
  <si>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</si>
  <si>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</si>
  <si>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</si>
  <si>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</si>
  <si>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</si>
  <si>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</si>
  <si>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</si>
  <si>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</si>
  <si>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</si>
  <si>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</si>
  <si>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</si>
  <si>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</si>
  <si>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</si>
  <si>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</si>
  <si>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</si>
  <si>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</si>
  <si>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</si>
  <si>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</si>
  <si>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</si>
  <si>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остекление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</si>
  <si>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</si>
  <si>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</si>
  <si>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</si>
  <si>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</si>
  <si>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</si>
  <si>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</si>
  <si>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</si>
  <si>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</si>
  <si>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</si>
  <si>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</si>
  <si>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</si>
  <si>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</si>
  <si>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</si>
  <si>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</si>
  <si>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</si>
  <si>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</si>
  <si>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</si>
  <si>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</si>
  <si>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</si>
  <si>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</si>
  <si>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</si>
  <si>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4.1</t>
  </si>
  <si>
    <t>4.2</t>
  </si>
  <si>
    <t>5.1</t>
  </si>
  <si>
    <t>5.2</t>
  </si>
  <si>
    <t>5.2.1</t>
  </si>
  <si>
    <t>5.2.2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</si>
  <si>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</si>
  <si>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</si>
  <si>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</si>
  <si>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</si>
  <si>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</si>
  <si>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</si>
  <si>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</si>
  <si>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</si>
  <si>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</si>
  <si>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</si>
  <si>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</si>
  <si>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</si>
  <si>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</si>
  <si>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</si>
  <si>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</si>
  <si>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</si>
  <si>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</si>
  <si>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</si>
  <si>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</si>
  <si>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</si>
  <si>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</si>
  <si>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</si>
  <si>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</si>
  <si>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</si>
  <si>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</si>
  <si>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</si>
  <si>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</si>
  <si>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</si>
  <si>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</si>
  <si>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</si>
  <si>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</si>
  <si>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</si>
  <si>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</si>
  <si>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</si>
  <si>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7.3.1</t>
  </si>
  <si>
    <t>7.3.2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</si>
  <si>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</si>
  <si>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</si>
  <si>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</si>
  <si>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</si>
  <si>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</si>
  <si>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7.3.3</t>
  </si>
  <si>
    <t>содержание оргтехники (заправки картриджей, запасные части и т.д.)</t>
  </si>
  <si>
    <t>10.4</t>
  </si>
  <si>
    <t>Обслуживание и благоустройство мест общего пользования (по договорам):</t>
  </si>
  <si>
    <t>очистка кровли от снега и мусора</t>
  </si>
  <si>
    <t>Приобретение  материалов, запчастей и другое:</t>
  </si>
  <si>
    <t>10.5</t>
  </si>
  <si>
    <t>закупка и ремонт почтовых ящиков</t>
  </si>
  <si>
    <t>Плановый доход от хозяйственной деятельности (за вычетом налогов)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</si>
  <si>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</si>
  <si>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</si>
  <si>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</si>
  <si>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</si>
  <si>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</si>
  <si>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</si>
  <si>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окрашивание и ремонт лавочек, детского игрового оборудования, ограждений</t>
  </si>
  <si>
    <t>дезинфекция и дератизация подвальных помещений</t>
  </si>
  <si>
    <t>9.11</t>
  </si>
  <si>
    <t>телефон, интернет</t>
  </si>
  <si>
    <t>спец. одежда для персонала</t>
  </si>
  <si>
    <t>песок для песочниц, земля для газонов, пастосмесь противогололедная</t>
  </si>
  <si>
    <t>11.13</t>
  </si>
  <si>
    <t>дорожные работы (асфальт, щебень, наем спецтехники)</t>
  </si>
  <si>
    <t>электротехнические материалы:</t>
  </si>
  <si>
    <t>обслуживание узла учета тепловой энергии и воды</t>
  </si>
  <si>
    <t>Финансовый отчет</t>
  </si>
  <si>
    <t>Р/счет</t>
  </si>
  <si>
    <t>Касса</t>
  </si>
  <si>
    <t>В подотчете</t>
  </si>
  <si>
    <t xml:space="preserve">Задолженность </t>
  </si>
  <si>
    <t>жильцы</t>
  </si>
  <si>
    <t>поставщики</t>
  </si>
  <si>
    <t xml:space="preserve">Остаток на </t>
  </si>
  <si>
    <t>Итого по р/сч</t>
  </si>
  <si>
    <t>Итого по кассе</t>
  </si>
  <si>
    <t>Итого задолженность</t>
  </si>
  <si>
    <t>Коментарий</t>
  </si>
  <si>
    <t>Приход</t>
  </si>
  <si>
    <t>Расход</t>
  </si>
  <si>
    <t>Поступило</t>
  </si>
  <si>
    <t>Начислено</t>
  </si>
  <si>
    <t>Итого жильцы</t>
  </si>
  <si>
    <t>Оплачено</t>
  </si>
  <si>
    <t>канцтовары (бумага, ручки и т.д.)</t>
  </si>
  <si>
    <t xml:space="preserve">январь </t>
  </si>
  <si>
    <t>опрессовка системы отопления и ГВС</t>
  </si>
  <si>
    <t>11.14</t>
  </si>
  <si>
    <t>11.15</t>
  </si>
  <si>
    <t>11.16</t>
  </si>
  <si>
    <t>установка ограждений детских площадок, клумбы</t>
  </si>
  <si>
    <t>заделка межпанельных швов, окрашивние фасада</t>
  </si>
  <si>
    <t>Расходы на проектирование котельного оборудования</t>
  </si>
  <si>
    <t>асфальтирование спортивной площадки</t>
  </si>
  <si>
    <t>установка решеток в подвальных приямках во дворах (16 шт.)</t>
  </si>
  <si>
    <t>На основании сметы расходов на 2012 г. Правление ТСЖ предлагает утвердить</t>
  </si>
  <si>
    <t>комплектующие и другое</t>
  </si>
  <si>
    <t>установка системы дворового и офисного видеонаблюдения</t>
  </si>
  <si>
    <t>установка забора на границе землеотвода 90 п.м.</t>
  </si>
  <si>
    <t>установка заградительных устройств (шлагбаумов)</t>
  </si>
  <si>
    <t>Остаток средств по статье "Содержание и ремонт жилья" за 2011 год</t>
  </si>
  <si>
    <t>техническому содержанию и ремонту общего имущества многоквартирного дома на 2012 год</t>
  </si>
  <si>
    <t>сантехническое оборудование</t>
  </si>
  <si>
    <t>в январе за 12.2011г.</t>
  </si>
  <si>
    <t>в январе за 12.12</t>
  </si>
  <si>
    <t>Сумма расходов по месяцам 2012 года, руб.</t>
  </si>
  <si>
    <t>Услуги банка и платежных систем, нотариальные услуги</t>
  </si>
  <si>
    <t>Отчет о совместимости для Смета техобслуживания 2012_1.xls</t>
  </si>
  <si>
    <t>Дата отчета: 04.05.2012 17:31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</si>
  <si>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</si>
  <si>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</si>
  <si>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</si>
  <si>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</si>
  <si>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1С 8.2 обновления (подписка)</t>
  </si>
  <si>
    <t xml:space="preserve"> </t>
  </si>
  <si>
    <t>ремонт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</si>
</sst>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medium"/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thin"/>
      <top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medium"/>
      <right style="medium"/>
      <top/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16" fontId="2" fillId="34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1" fontId="4" fillId="0" borderId="23" xfId="0" applyNumberFormat="1" applyFont="1" applyBorder="1" applyAlignment="1">
      <alignment/>
    </xf>
    <xf numFmtId="0" fontId="2" fillId="34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1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1" fontId="2" fillId="0" borderId="28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0" fontId="2" fillId="34" borderId="31" xfId="0" applyFont="1" applyFill="1" applyBorder="1" applyAlignment="1">
      <alignment/>
    </xf>
    <xf numFmtId="1" fontId="2" fillId="35" borderId="30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2" fontId="6" fillId="0" borderId="38" xfId="0" applyNumberFormat="1" applyFont="1" applyBorder="1" applyAlignment="1">
      <alignment horizontal="center"/>
    </xf>
    <xf numFmtId="0" fontId="2" fillId="36" borderId="40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left"/>
    </xf>
    <xf numFmtId="1" fontId="6" fillId="0" borderId="43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2" fontId="6" fillId="0" borderId="39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1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2" fontId="2" fillId="36" borderId="48" xfId="0" applyNumberFormat="1" applyFont="1" applyFill="1" applyBorder="1" applyAlignment="1">
      <alignment horizontal="center"/>
    </xf>
    <xf numFmtId="1" fontId="2" fillId="36" borderId="16" xfId="0" applyNumberFormat="1" applyFont="1" applyFill="1" applyBorder="1" applyAlignment="1">
      <alignment horizontal="center"/>
    </xf>
    <xf numFmtId="0" fontId="2" fillId="36" borderId="49" xfId="0" applyNumberFormat="1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center"/>
    </xf>
    <xf numFmtId="2" fontId="2" fillId="37" borderId="17" xfId="0" applyNumberFormat="1" applyFont="1" applyFill="1" applyBorder="1" applyAlignment="1">
      <alignment horizontal="center"/>
    </xf>
    <xf numFmtId="1" fontId="2" fillId="33" borderId="24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1" fontId="6" fillId="0" borderId="29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6" fillId="0" borderId="45" xfId="0" applyNumberFormat="1" applyFont="1" applyBorder="1" applyAlignment="1">
      <alignment/>
    </xf>
    <xf numFmtId="0" fontId="6" fillId="0" borderId="44" xfId="0" applyNumberFormat="1" applyFont="1" applyFill="1" applyBorder="1" applyAlignment="1">
      <alignment/>
    </xf>
    <xf numFmtId="0" fontId="6" fillId="0" borderId="45" xfId="0" applyNumberFormat="1" applyFont="1" applyFill="1" applyBorder="1" applyAlignment="1">
      <alignment/>
    </xf>
    <xf numFmtId="0" fontId="4" fillId="0" borderId="44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54" xfId="0" applyNumberFormat="1" applyFont="1" applyBorder="1" applyAlignment="1">
      <alignment/>
    </xf>
    <xf numFmtId="0" fontId="4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27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4" fillId="0" borderId="42" xfId="0" applyFont="1" applyBorder="1" applyAlignment="1">
      <alignment horizontal="left"/>
    </xf>
    <xf numFmtId="2" fontId="4" fillId="0" borderId="58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1" fontId="2" fillId="36" borderId="26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2" fontId="2" fillId="36" borderId="36" xfId="0" applyNumberFormat="1" applyFont="1" applyFill="1" applyBorder="1" applyAlignment="1">
      <alignment horizontal="center"/>
    </xf>
    <xf numFmtId="0" fontId="2" fillId="0" borderId="45" xfId="0" applyFont="1" applyBorder="1" applyAlignment="1">
      <alignment/>
    </xf>
    <xf numFmtId="0" fontId="0" fillId="0" borderId="45" xfId="0" applyBorder="1" applyAlignment="1">
      <alignment/>
    </xf>
    <xf numFmtId="14" fontId="2" fillId="0" borderId="45" xfId="0" applyNumberFormat="1" applyFont="1" applyBorder="1" applyAlignment="1">
      <alignment/>
    </xf>
    <xf numFmtId="0" fontId="2" fillId="0" borderId="53" xfId="0" applyFont="1" applyFill="1" applyBorder="1" applyAlignment="1">
      <alignment/>
    </xf>
    <xf numFmtId="1" fontId="2" fillId="0" borderId="17" xfId="0" applyNumberFormat="1" applyFont="1" applyBorder="1" applyAlignment="1">
      <alignment/>
    </xf>
    <xf numFmtId="16" fontId="2" fillId="34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2" fillId="36" borderId="65" xfId="0" applyFont="1" applyFill="1" applyBorder="1" applyAlignment="1">
      <alignment/>
    </xf>
    <xf numFmtId="16" fontId="2" fillId="34" borderId="25" xfId="0" applyNumberFormat="1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4" fillId="0" borderId="45" xfId="0" applyNumberFormat="1" applyFont="1" applyFill="1" applyBorder="1" applyAlignment="1">
      <alignment/>
    </xf>
    <xf numFmtId="0" fontId="4" fillId="0" borderId="55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3" fillId="0" borderId="45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4" fillId="0" borderId="63" xfId="0" applyNumberFormat="1" applyFont="1" applyFill="1" applyBorder="1" applyAlignment="1">
      <alignment/>
    </xf>
    <xf numFmtId="0" fontId="4" fillId="0" borderId="67" xfId="0" applyNumberFormat="1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1" fontId="6" fillId="0" borderId="69" xfId="0" applyNumberFormat="1" applyFont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6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2" fontId="6" fillId="0" borderId="71" xfId="0" applyNumberFormat="1" applyFont="1" applyBorder="1" applyAlignment="1">
      <alignment horizontal="center"/>
    </xf>
    <xf numFmtId="1" fontId="6" fillId="0" borderId="72" xfId="0" applyNumberFormat="1" applyFont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Border="1" applyAlignment="1">
      <alignment horizontal="left"/>
    </xf>
    <xf numFmtId="2" fontId="6" fillId="0" borderId="75" xfId="0" applyNumberFormat="1" applyFont="1" applyBorder="1" applyAlignment="1">
      <alignment horizontal="center"/>
    </xf>
    <xf numFmtId="1" fontId="6" fillId="0" borderId="76" xfId="0" applyNumberFormat="1" applyFont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7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75" xfId="0" applyFont="1" applyBorder="1" applyAlignment="1">
      <alignment/>
    </xf>
    <xf numFmtId="0" fontId="2" fillId="36" borderId="78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6" fillId="0" borderId="75" xfId="0" applyNumberFormat="1" applyFont="1" applyBorder="1" applyAlignment="1">
      <alignment/>
    </xf>
    <xf numFmtId="0" fontId="4" fillId="0" borderId="75" xfId="0" applyNumberFormat="1" applyFont="1" applyBorder="1" applyAlignment="1">
      <alignment/>
    </xf>
    <xf numFmtId="0" fontId="4" fillId="0" borderId="79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6" fillId="0" borderId="80" xfId="0" applyFont="1" applyBorder="1" applyAlignment="1">
      <alignment/>
    </xf>
    <xf numFmtId="0" fontId="2" fillId="0" borderId="81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2" fillId="0" borderId="81" xfId="0" applyFont="1" applyFill="1" applyBorder="1" applyAlignment="1">
      <alignment vertical="center"/>
    </xf>
    <xf numFmtId="0" fontId="6" fillId="0" borderId="75" xfId="0" applyFont="1" applyFill="1" applyBorder="1" applyAlignment="1">
      <alignment/>
    </xf>
    <xf numFmtId="0" fontId="6" fillId="0" borderId="82" xfId="0" applyFont="1" applyBorder="1" applyAlignment="1">
      <alignment/>
    </xf>
    <xf numFmtId="0" fontId="2" fillId="0" borderId="83" xfId="0" applyFont="1" applyFill="1" applyBorder="1" applyAlignment="1">
      <alignment/>
    </xf>
    <xf numFmtId="0" fontId="2" fillId="34" borderId="84" xfId="0" applyFont="1" applyFill="1" applyBorder="1" applyAlignment="1">
      <alignment/>
    </xf>
    <xf numFmtId="1" fontId="2" fillId="19" borderId="85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6" fillId="0" borderId="86" xfId="0" applyNumberFormat="1" applyFont="1" applyBorder="1" applyAlignment="1">
      <alignment/>
    </xf>
    <xf numFmtId="1" fontId="2" fillId="0" borderId="70" xfId="0" applyNumberFormat="1" applyFont="1" applyBorder="1" applyAlignment="1">
      <alignment/>
    </xf>
    <xf numFmtId="1" fontId="2" fillId="0" borderId="85" xfId="0" applyNumberFormat="1" applyFont="1" applyBorder="1" applyAlignment="1">
      <alignment/>
    </xf>
    <xf numFmtId="1" fontId="2" fillId="0" borderId="85" xfId="0" applyNumberFormat="1" applyFont="1" applyBorder="1" applyAlignment="1">
      <alignment vertical="center"/>
    </xf>
    <xf numFmtId="1" fontId="2" fillId="0" borderId="28" xfId="0" applyNumberFormat="1" applyFont="1" applyBorder="1" applyAlignment="1">
      <alignment vertical="center"/>
    </xf>
    <xf numFmtId="1" fontId="2" fillId="34" borderId="31" xfId="0" applyNumberFormat="1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7" xfId="0" applyNumberFormat="1" applyBorder="1" applyAlignment="1">
      <alignment vertical="top" wrapText="1"/>
    </xf>
    <xf numFmtId="0" fontId="0" fillId="0" borderId="88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14" fontId="0" fillId="0" borderId="45" xfId="0" applyNumberFormat="1" applyBorder="1" applyAlignment="1">
      <alignment/>
    </xf>
    <xf numFmtId="1" fontId="2" fillId="34" borderId="4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35" borderId="22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2" fillId="34" borderId="91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PageLayoutView="0" workbookViewId="0" topLeftCell="A1">
      <pane xSplit="5" ySplit="4" topLeftCell="F5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12" sqref="I12:J12"/>
    </sheetView>
  </sheetViews>
  <sheetFormatPr defaultColWidth="9.00390625" defaultRowHeight="12.75" outlineLevelRow="2"/>
  <cols>
    <col min="1" max="1" width="6.00390625" style="0" bestFit="1" customWidth="1"/>
    <col min="2" max="2" width="70.75390625" style="0" customWidth="1"/>
    <col min="3" max="3" width="9.00390625" style="0" customWidth="1"/>
    <col min="4" max="4" width="8.625" style="0" customWidth="1"/>
    <col min="5" max="5" width="8.125" style="0" customWidth="1"/>
    <col min="8" max="8" width="11.375" style="0" customWidth="1"/>
    <col min="12" max="15" width="8.875" style="0" customWidth="1"/>
    <col min="16" max="19" width="8.875" style="0" hidden="1" customWidth="1"/>
  </cols>
  <sheetData>
    <row r="1" spans="1:5" ht="12.75">
      <c r="A1" s="208" t="s">
        <v>0</v>
      </c>
      <c r="B1" s="208"/>
      <c r="C1" s="208"/>
      <c r="D1" s="208"/>
      <c r="E1" s="208"/>
    </row>
    <row r="2" spans="1:5" ht="13.5" thickBot="1">
      <c r="A2" s="208" t="s">
        <v>155</v>
      </c>
      <c r="B2" s="208"/>
      <c r="C2" s="208"/>
      <c r="D2" s="208"/>
      <c r="E2" s="208"/>
    </row>
    <row r="3" spans="1:21" ht="13.5" thickBot="1">
      <c r="A3" s="209"/>
      <c r="B3" s="209"/>
      <c r="C3" s="209"/>
      <c r="D3" s="209"/>
      <c r="E3" s="209"/>
      <c r="F3" s="212" t="s">
        <v>159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159"/>
      <c r="T3" s="204" t="s">
        <v>46</v>
      </c>
      <c r="U3" s="204" t="s">
        <v>47</v>
      </c>
    </row>
    <row r="4" spans="1:21" ht="51.75" thickBot="1">
      <c r="A4" s="9" t="s">
        <v>1</v>
      </c>
      <c r="B4" s="10" t="s">
        <v>2</v>
      </c>
      <c r="C4" s="13" t="s">
        <v>90</v>
      </c>
      <c r="D4" s="13" t="s">
        <v>3</v>
      </c>
      <c r="E4" s="20" t="s">
        <v>4</v>
      </c>
      <c r="F4" s="125" t="s">
        <v>157</v>
      </c>
      <c r="G4" s="120" t="s">
        <v>139</v>
      </c>
      <c r="H4" s="14" t="s">
        <v>35</v>
      </c>
      <c r="I4" s="15" t="s">
        <v>36</v>
      </c>
      <c r="J4" s="14" t="s">
        <v>37</v>
      </c>
      <c r="K4" s="15" t="s">
        <v>38</v>
      </c>
      <c r="L4" s="14" t="s">
        <v>39</v>
      </c>
      <c r="M4" s="15" t="s">
        <v>40</v>
      </c>
      <c r="N4" s="14" t="s">
        <v>41</v>
      </c>
      <c r="O4" s="15" t="s">
        <v>42</v>
      </c>
      <c r="P4" s="14" t="s">
        <v>43</v>
      </c>
      <c r="Q4" s="15" t="s">
        <v>44</v>
      </c>
      <c r="R4" s="22" t="s">
        <v>45</v>
      </c>
      <c r="S4" s="169" t="s">
        <v>158</v>
      </c>
      <c r="T4" s="205"/>
      <c r="U4" s="205"/>
    </row>
    <row r="5" spans="1:21" ht="13.5" thickBot="1">
      <c r="A5" s="32">
        <v>1</v>
      </c>
      <c r="B5" s="6" t="s">
        <v>5</v>
      </c>
      <c r="C5" s="43">
        <f>D5/D73</f>
        <v>5.502839914937145</v>
      </c>
      <c r="D5" s="16">
        <f aca="true" t="shared" si="0" ref="D5:D40">E5/12</f>
        <v>136283.33333333334</v>
      </c>
      <c r="E5" s="75">
        <v>1635400</v>
      </c>
      <c r="F5" s="145"/>
      <c r="G5" s="136">
        <f>167466-32500</f>
        <v>134966</v>
      </c>
      <c r="H5" s="126">
        <f>206905-12529-32500-5434-4905-6354-4606-2486-4837-6354</f>
        <v>126900</v>
      </c>
      <c r="I5" s="126">
        <f>146140-3539</f>
        <v>142601</v>
      </c>
      <c r="J5" s="24">
        <f>173959-32500</f>
        <v>141459</v>
      </c>
      <c r="K5" s="24">
        <f>178151-32500</f>
        <v>145651</v>
      </c>
      <c r="L5" s="126">
        <f>59908+10820+80105+5358+3521+4000-32500-179+3521</f>
        <v>134554</v>
      </c>
      <c r="M5" s="126">
        <f>10700+75665+8843+68048-32500+4000</f>
        <v>134756</v>
      </c>
      <c r="N5" s="126">
        <f>61694+980+91444+14521-32500+4000+3480+2947</f>
        <v>146566</v>
      </c>
      <c r="O5" s="24">
        <f>53239+6700+4000+6960</f>
        <v>70899</v>
      </c>
      <c r="P5" s="24"/>
      <c r="Q5" s="24"/>
      <c r="R5" s="24"/>
      <c r="S5" s="160"/>
      <c r="T5" s="25">
        <f aca="true" t="shared" si="1" ref="T5:T19">SUM(G5:S5)</f>
        <v>1178352</v>
      </c>
      <c r="U5" s="25">
        <f>E5-T5</f>
        <v>457048</v>
      </c>
    </row>
    <row r="6" spans="1:21" ht="13.5" thickBot="1">
      <c r="A6" s="32">
        <v>2</v>
      </c>
      <c r="B6" s="6" t="s">
        <v>6</v>
      </c>
      <c r="C6" s="43">
        <f>D6/D73</f>
        <v>1.1115736628173034</v>
      </c>
      <c r="D6" s="16">
        <f t="shared" si="0"/>
        <v>27529.233333333334</v>
      </c>
      <c r="E6" s="75">
        <v>330350.8</v>
      </c>
      <c r="F6" s="127">
        <f>24121.32+3925.92+3116.36+4095.41+311.63+4830.36</f>
        <v>40400.99999999999</v>
      </c>
      <c r="G6" s="127">
        <f>30726+2768+335-6565</f>
        <v>27264</v>
      </c>
      <c r="H6" s="127">
        <f>40463+3847+338-6565</f>
        <v>38083</v>
      </c>
      <c r="I6" s="127">
        <f>29115+2768+76+5444-9945-529</f>
        <v>26929</v>
      </c>
      <c r="J6" s="127">
        <f>12070+29115+2768+338-6565</f>
        <v>37726</v>
      </c>
      <c r="K6" s="127">
        <f>29115+2768+338+13054-6565</f>
        <v>38710</v>
      </c>
      <c r="L6" s="127">
        <f>28005+224+339+19.64+6.5-6565</f>
        <v>22029.14</v>
      </c>
      <c r="M6" s="127">
        <f>24720+2850-6565</f>
        <v>21005</v>
      </c>
      <c r="N6" s="119">
        <f>606+31200+2850-6565</f>
        <v>28091</v>
      </c>
      <c r="O6" s="127">
        <f>35260+3756+468</f>
        <v>39484</v>
      </c>
      <c r="P6" s="119"/>
      <c r="Q6" s="24"/>
      <c r="R6" s="24"/>
      <c r="S6" s="160"/>
      <c r="T6" s="25">
        <f>SUM(G6:S6)</f>
        <v>279321.14</v>
      </c>
      <c r="U6" s="25">
        <f aca="true" t="shared" si="2" ref="U6:U65">E6-T6</f>
        <v>51029.659999999974</v>
      </c>
    </row>
    <row r="7" spans="1:21" ht="13.5" thickBot="1">
      <c r="A7" s="32">
        <v>3</v>
      </c>
      <c r="B7" s="6" t="s">
        <v>160</v>
      </c>
      <c r="C7" s="43">
        <f>D7/D73</f>
        <v>0.11776898436027887</v>
      </c>
      <c r="D7" s="16">
        <f t="shared" si="0"/>
        <v>2916.6666666666665</v>
      </c>
      <c r="E7" s="75">
        <v>35000</v>
      </c>
      <c r="F7" s="145"/>
      <c r="G7" s="136">
        <f>1650</f>
        <v>1650</v>
      </c>
      <c r="H7" s="126">
        <v>1050</v>
      </c>
      <c r="I7" s="126">
        <f>2400+320.49+1570+30</f>
        <v>4320.49</v>
      </c>
      <c r="J7" s="24">
        <f>316.73+364.08+366.06+500+1160</f>
        <v>2706.87</v>
      </c>
      <c r="K7" s="24">
        <f>357.82+391.8+500+500+590</f>
        <v>2339.62</v>
      </c>
      <c r="L7" s="126">
        <f>500+299.54+600+400.53</f>
        <v>1800.07</v>
      </c>
      <c r="M7" s="126">
        <f>500+690+378.33</f>
        <v>1568.33</v>
      </c>
      <c r="N7" s="24">
        <f>340.24+36.5+500+36.5+600+308.47</f>
        <v>1821.71</v>
      </c>
      <c r="O7" s="24">
        <f>457.22+20+266.2</f>
        <v>743.4200000000001</v>
      </c>
      <c r="P7" s="24"/>
      <c r="Q7" s="24"/>
      <c r="R7" s="24"/>
      <c r="S7" s="160"/>
      <c r="T7" s="25">
        <f t="shared" si="1"/>
        <v>18000.510000000002</v>
      </c>
      <c r="U7" s="25">
        <f t="shared" si="2"/>
        <v>16999.489999999998</v>
      </c>
    </row>
    <row r="8" spans="1:21" ht="12.75">
      <c r="A8" s="33">
        <v>4</v>
      </c>
      <c r="B8" s="7" t="s">
        <v>7</v>
      </c>
      <c r="C8" s="44">
        <f>D8/D73</f>
        <v>0.07402621874074672</v>
      </c>
      <c r="D8" s="17">
        <f t="shared" si="0"/>
        <v>1833.3333333333333</v>
      </c>
      <c r="E8" s="76">
        <f>E9+E10</f>
        <v>22000</v>
      </c>
      <c r="F8" s="26">
        <f>SUM(F9:F10)</f>
        <v>1848.21</v>
      </c>
      <c r="G8" s="118">
        <f>SUM(G9:G10)</f>
        <v>389.75</v>
      </c>
      <c r="H8" s="118">
        <f>SUM(H9:H10)</f>
        <v>2796.8</v>
      </c>
      <c r="I8" s="118">
        <f>SUM(I9:I10)</f>
        <v>2308.41</v>
      </c>
      <c r="J8" s="118">
        <f aca="true" t="shared" si="3" ref="J8:S8">SUM(J9:J10)</f>
        <v>2485.83</v>
      </c>
      <c r="K8" s="118">
        <f t="shared" si="3"/>
        <v>1982.7</v>
      </c>
      <c r="L8" s="118">
        <f t="shared" si="3"/>
        <v>1883.1</v>
      </c>
      <c r="M8" s="118">
        <f t="shared" si="3"/>
        <v>1736.96</v>
      </c>
      <c r="N8" s="118">
        <f t="shared" si="3"/>
        <v>1711</v>
      </c>
      <c r="O8" s="118">
        <f t="shared" si="3"/>
        <v>1693.67</v>
      </c>
      <c r="P8" s="118">
        <f t="shared" si="3"/>
        <v>0</v>
      </c>
      <c r="Q8" s="118">
        <f t="shared" si="3"/>
        <v>0</v>
      </c>
      <c r="R8" s="118">
        <f t="shared" si="3"/>
        <v>0</v>
      </c>
      <c r="S8" s="118">
        <f t="shared" si="3"/>
        <v>0</v>
      </c>
      <c r="T8" s="27">
        <f t="shared" si="1"/>
        <v>16988.22</v>
      </c>
      <c r="U8" s="27">
        <f t="shared" si="2"/>
        <v>5011.779999999999</v>
      </c>
    </row>
    <row r="9" spans="1:21" s="64" customFormat="1" ht="12" outlineLevel="1">
      <c r="A9" s="38" t="s">
        <v>48</v>
      </c>
      <c r="B9" s="50" t="s">
        <v>113</v>
      </c>
      <c r="C9" s="51">
        <f>D9/D73</f>
        <v>0.06729656249158793</v>
      </c>
      <c r="D9" s="54">
        <f t="shared" si="0"/>
        <v>1666.6666666666667</v>
      </c>
      <c r="E9" s="56">
        <v>20000</v>
      </c>
      <c r="F9" s="61">
        <v>1848.21</v>
      </c>
      <c r="G9" s="137">
        <f>360</f>
        <v>360</v>
      </c>
      <c r="H9" s="128">
        <f>1980.8+720</f>
        <v>2700.8</v>
      </c>
      <c r="I9" s="128">
        <f>2308.41</f>
        <v>2308.41</v>
      </c>
      <c r="J9" s="62">
        <f>120+2110.88</f>
        <v>2230.88</v>
      </c>
      <c r="K9" s="62">
        <v>1982.7</v>
      </c>
      <c r="L9" s="128">
        <f>1883.1</f>
        <v>1883.1</v>
      </c>
      <c r="M9" s="128">
        <v>1736.96</v>
      </c>
      <c r="N9" s="62">
        <v>1711</v>
      </c>
      <c r="O9" s="62">
        <f>1693.67</f>
        <v>1693.67</v>
      </c>
      <c r="P9" s="62"/>
      <c r="Q9" s="62"/>
      <c r="R9" s="62"/>
      <c r="S9" s="161"/>
      <c r="T9" s="63">
        <f t="shared" si="1"/>
        <v>16607.520000000004</v>
      </c>
      <c r="U9" s="63">
        <f t="shared" si="2"/>
        <v>3392.479999999996</v>
      </c>
    </row>
    <row r="10" spans="1:21" s="64" customFormat="1" ht="12.75" outlineLevel="1" thickBot="1">
      <c r="A10" s="39" t="s">
        <v>49</v>
      </c>
      <c r="B10" s="59" t="s">
        <v>8</v>
      </c>
      <c r="C10" s="60">
        <f>D10/D73</f>
        <v>0.006729656249158792</v>
      </c>
      <c r="D10" s="55">
        <f t="shared" si="0"/>
        <v>166.66666666666666</v>
      </c>
      <c r="E10" s="77">
        <v>2000</v>
      </c>
      <c r="F10" s="65"/>
      <c r="G10" s="138">
        <v>29.75</v>
      </c>
      <c r="H10" s="129">
        <v>96</v>
      </c>
      <c r="I10" s="129"/>
      <c r="J10" s="66">
        <v>254.95</v>
      </c>
      <c r="K10" s="66"/>
      <c r="L10" s="129"/>
      <c r="M10" s="129"/>
      <c r="N10" s="66"/>
      <c r="O10" s="66"/>
      <c r="P10" s="66"/>
      <c r="Q10" s="66"/>
      <c r="R10" s="66"/>
      <c r="S10" s="162"/>
      <c r="T10" s="63">
        <f t="shared" si="1"/>
        <v>380.7</v>
      </c>
      <c r="U10" s="78">
        <f t="shared" si="2"/>
        <v>1619.3</v>
      </c>
    </row>
    <row r="11" spans="1:21" ht="12.75">
      <c r="A11" s="34">
        <v>5</v>
      </c>
      <c r="B11" s="7" t="s">
        <v>9</v>
      </c>
      <c r="C11" s="44">
        <f>D11/D73</f>
        <v>0.17160623435354921</v>
      </c>
      <c r="D11" s="17">
        <f t="shared" si="0"/>
        <v>4250</v>
      </c>
      <c r="E11" s="76">
        <f>SUM(E12:E13)</f>
        <v>51000</v>
      </c>
      <c r="F11" s="80">
        <f aca="true" t="shared" si="4" ref="F11:S11">SUM(F12:F13)</f>
        <v>0</v>
      </c>
      <c r="G11" s="81">
        <f t="shared" si="4"/>
        <v>0</v>
      </c>
      <c r="H11" s="81">
        <f t="shared" si="4"/>
        <v>7250</v>
      </c>
      <c r="I11" s="81">
        <f t="shared" si="4"/>
        <v>3000</v>
      </c>
      <c r="J11" s="81">
        <f t="shared" si="4"/>
        <v>3000</v>
      </c>
      <c r="K11" s="81">
        <f t="shared" si="4"/>
        <v>3000</v>
      </c>
      <c r="L11" s="81">
        <f t="shared" si="4"/>
        <v>3000</v>
      </c>
      <c r="M11" s="81">
        <f t="shared" si="4"/>
        <v>3000</v>
      </c>
      <c r="N11" s="81">
        <f t="shared" si="4"/>
        <v>3000</v>
      </c>
      <c r="O11" s="81">
        <f t="shared" si="4"/>
        <v>3000</v>
      </c>
      <c r="P11" s="81">
        <f t="shared" si="4"/>
        <v>0</v>
      </c>
      <c r="Q11" s="81">
        <f t="shared" si="4"/>
        <v>0</v>
      </c>
      <c r="R11" s="81">
        <f t="shared" si="4"/>
        <v>0</v>
      </c>
      <c r="S11" s="81">
        <f t="shared" si="4"/>
        <v>0</v>
      </c>
      <c r="T11" s="27">
        <f t="shared" si="1"/>
        <v>28250</v>
      </c>
      <c r="U11" s="27">
        <f t="shared" si="2"/>
        <v>22750</v>
      </c>
    </row>
    <row r="12" spans="1:21" s="64" customFormat="1" ht="12" outlineLevel="1">
      <c r="A12" s="38" t="s">
        <v>50</v>
      </c>
      <c r="B12" s="79" t="s">
        <v>10</v>
      </c>
      <c r="C12" s="51">
        <f>D12/D73</f>
        <v>0.12113381248485827</v>
      </c>
      <c r="D12" s="54">
        <f t="shared" si="0"/>
        <v>3000</v>
      </c>
      <c r="E12" s="56">
        <v>36000</v>
      </c>
      <c r="F12" s="83"/>
      <c r="G12" s="121"/>
      <c r="H12" s="84">
        <v>6000</v>
      </c>
      <c r="I12" s="84">
        <v>3000</v>
      </c>
      <c r="J12" s="84">
        <v>3000</v>
      </c>
      <c r="K12" s="82">
        <v>3000</v>
      </c>
      <c r="L12" s="84">
        <v>3000</v>
      </c>
      <c r="M12" s="84">
        <v>3000</v>
      </c>
      <c r="N12" s="82">
        <v>3000</v>
      </c>
      <c r="O12" s="82">
        <v>3000</v>
      </c>
      <c r="P12" s="82"/>
      <c r="Q12" s="82"/>
      <c r="R12" s="82"/>
      <c r="S12" s="170"/>
      <c r="T12" s="63">
        <f t="shared" si="1"/>
        <v>27000</v>
      </c>
      <c r="U12" s="63">
        <f t="shared" si="2"/>
        <v>9000</v>
      </c>
    </row>
    <row r="13" spans="1:21" s="64" customFormat="1" ht="12" outlineLevel="1">
      <c r="A13" s="38" t="s">
        <v>51</v>
      </c>
      <c r="B13" s="50" t="s">
        <v>11</v>
      </c>
      <c r="C13" s="51">
        <f>D13/D73</f>
        <v>0.05047242186869095</v>
      </c>
      <c r="D13" s="54">
        <f t="shared" si="0"/>
        <v>1250</v>
      </c>
      <c r="E13" s="56">
        <v>15000</v>
      </c>
      <c r="F13" s="83">
        <f aca="true" t="shared" si="5" ref="F13:S13">SUM(F14:F15)</f>
        <v>0</v>
      </c>
      <c r="G13" s="84">
        <f t="shared" si="5"/>
        <v>0</v>
      </c>
      <c r="H13" s="84">
        <f t="shared" si="5"/>
        <v>1250</v>
      </c>
      <c r="I13" s="84">
        <f t="shared" si="5"/>
        <v>0</v>
      </c>
      <c r="J13" s="84">
        <f t="shared" si="5"/>
        <v>0</v>
      </c>
      <c r="K13" s="84">
        <f t="shared" si="5"/>
        <v>0</v>
      </c>
      <c r="L13" s="84">
        <f t="shared" si="5"/>
        <v>0</v>
      </c>
      <c r="M13" s="84">
        <f t="shared" si="5"/>
        <v>0</v>
      </c>
      <c r="N13" s="84">
        <f t="shared" si="5"/>
        <v>0</v>
      </c>
      <c r="O13" s="84">
        <f t="shared" si="5"/>
        <v>0</v>
      </c>
      <c r="P13" s="84">
        <f t="shared" si="5"/>
        <v>0</v>
      </c>
      <c r="Q13" s="84">
        <f t="shared" si="5"/>
        <v>0</v>
      </c>
      <c r="R13" s="84">
        <f t="shared" si="5"/>
        <v>0</v>
      </c>
      <c r="S13" s="84">
        <f t="shared" si="5"/>
        <v>0</v>
      </c>
      <c r="T13" s="61">
        <f t="shared" si="1"/>
        <v>1250</v>
      </c>
      <c r="U13" s="63">
        <f t="shared" si="2"/>
        <v>13750</v>
      </c>
    </row>
    <row r="14" spans="1:21" s="12" customFormat="1" ht="12" outlineLevel="2">
      <c r="A14" s="36" t="s">
        <v>52</v>
      </c>
      <c r="B14" s="3" t="s">
        <v>12</v>
      </c>
      <c r="C14" s="45"/>
      <c r="D14" s="18">
        <f t="shared" si="0"/>
        <v>250</v>
      </c>
      <c r="E14" s="109">
        <v>3000</v>
      </c>
      <c r="F14" s="85"/>
      <c r="G14" s="139"/>
      <c r="H14" s="130">
        <v>250</v>
      </c>
      <c r="I14" s="130"/>
      <c r="J14" s="86"/>
      <c r="K14" s="86"/>
      <c r="L14" s="130"/>
      <c r="M14" s="130"/>
      <c r="N14" s="86"/>
      <c r="O14" s="86"/>
      <c r="P14" s="86"/>
      <c r="Q14" s="86"/>
      <c r="R14" s="86"/>
      <c r="S14" s="171"/>
      <c r="T14" s="21">
        <f t="shared" si="1"/>
        <v>250</v>
      </c>
      <c r="U14" s="21">
        <f t="shared" si="2"/>
        <v>2750</v>
      </c>
    </row>
    <row r="15" spans="1:21" s="12" customFormat="1" ht="12.75" outlineLevel="2" thickBot="1">
      <c r="A15" s="37" t="s">
        <v>53</v>
      </c>
      <c r="B15" s="4" t="s">
        <v>94</v>
      </c>
      <c r="C15" s="46"/>
      <c r="D15" s="19">
        <f t="shared" si="0"/>
        <v>583.3333333333334</v>
      </c>
      <c r="E15" s="110">
        <v>7000</v>
      </c>
      <c r="F15" s="87"/>
      <c r="G15" s="140"/>
      <c r="H15" s="131">
        <v>1000</v>
      </c>
      <c r="I15" s="131"/>
      <c r="J15" s="88"/>
      <c r="K15" s="88"/>
      <c r="L15" s="131"/>
      <c r="M15" s="131"/>
      <c r="N15" s="88"/>
      <c r="O15" s="88"/>
      <c r="P15" s="88"/>
      <c r="Q15" s="88"/>
      <c r="R15" s="88"/>
      <c r="S15" s="172"/>
      <c r="T15" s="173">
        <f t="shared" si="1"/>
        <v>1000</v>
      </c>
      <c r="U15" s="28">
        <f t="shared" si="2"/>
        <v>6000</v>
      </c>
    </row>
    <row r="16" spans="1:21" ht="13.5" thickBot="1">
      <c r="A16" s="35">
        <v>6</v>
      </c>
      <c r="B16" s="6" t="s">
        <v>13</v>
      </c>
      <c r="C16" s="43">
        <f>D16/D73</f>
        <v>0.016824140622896982</v>
      </c>
      <c r="D16" s="16">
        <f t="shared" si="0"/>
        <v>416.6666666666667</v>
      </c>
      <c r="E16" s="75">
        <v>5000</v>
      </c>
      <c r="F16" s="89"/>
      <c r="G16" s="141"/>
      <c r="H16" s="132"/>
      <c r="I16" s="132"/>
      <c r="J16" s="90"/>
      <c r="K16" s="90"/>
      <c r="L16" s="132"/>
      <c r="M16" s="132">
        <v>2184</v>
      </c>
      <c r="N16" s="90"/>
      <c r="O16" s="90"/>
      <c r="P16" s="90"/>
      <c r="Q16" s="90"/>
      <c r="R16" s="90"/>
      <c r="S16" s="163"/>
      <c r="T16" s="25">
        <f t="shared" si="1"/>
        <v>2184</v>
      </c>
      <c r="U16" s="25">
        <f t="shared" si="2"/>
        <v>2816</v>
      </c>
    </row>
    <row r="17" spans="1:21" ht="12.75">
      <c r="A17" s="34">
        <v>7</v>
      </c>
      <c r="B17" s="7" t="s">
        <v>92</v>
      </c>
      <c r="C17" s="44">
        <f>D17/D73</f>
        <v>0.1406128024980484</v>
      </c>
      <c r="D17" s="17">
        <f t="shared" si="0"/>
        <v>3482.4166666666665</v>
      </c>
      <c r="E17" s="76">
        <f>SUM(E18:E20)</f>
        <v>41789</v>
      </c>
      <c r="F17" s="91">
        <f aca="true" t="shared" si="6" ref="F17:S17">SUM(F18:F20)</f>
        <v>0</v>
      </c>
      <c r="G17" s="92">
        <f t="shared" si="6"/>
        <v>2906.5</v>
      </c>
      <c r="H17" s="92">
        <f t="shared" si="6"/>
        <v>1366</v>
      </c>
      <c r="I17" s="92">
        <f t="shared" si="6"/>
        <v>1063.5</v>
      </c>
      <c r="J17" s="92">
        <f t="shared" si="6"/>
        <v>630</v>
      </c>
      <c r="K17" s="92">
        <f t="shared" si="6"/>
        <v>1500</v>
      </c>
      <c r="L17" s="92">
        <f t="shared" si="6"/>
        <v>5470.5</v>
      </c>
      <c r="M17" s="92">
        <f t="shared" si="6"/>
        <v>6156.280000000001</v>
      </c>
      <c r="N17" s="92">
        <f t="shared" si="6"/>
        <v>40.5</v>
      </c>
      <c r="O17" s="92">
        <f t="shared" si="6"/>
        <v>1015</v>
      </c>
      <c r="P17" s="92">
        <f t="shared" si="6"/>
        <v>0</v>
      </c>
      <c r="Q17" s="92">
        <f t="shared" si="6"/>
        <v>0</v>
      </c>
      <c r="R17" s="92">
        <f t="shared" si="6"/>
        <v>0</v>
      </c>
      <c r="S17" s="175">
        <f t="shared" si="6"/>
        <v>0</v>
      </c>
      <c r="T17" s="27">
        <f t="shared" si="1"/>
        <v>20148.28</v>
      </c>
      <c r="U17" s="27">
        <f t="shared" si="2"/>
        <v>21640.72</v>
      </c>
    </row>
    <row r="18" spans="1:21" s="64" customFormat="1" ht="12" outlineLevel="1">
      <c r="A18" s="38" t="s">
        <v>54</v>
      </c>
      <c r="B18" s="50" t="s">
        <v>138</v>
      </c>
      <c r="C18" s="51">
        <f>D18/D73</f>
        <v>0.06729656249158793</v>
      </c>
      <c r="D18" s="54">
        <f t="shared" si="0"/>
        <v>1666.6666666666667</v>
      </c>
      <c r="E18" s="56">
        <v>20000</v>
      </c>
      <c r="F18" s="97"/>
      <c r="G18" s="123">
        <f>1500+206.5</f>
        <v>1706.5</v>
      </c>
      <c r="H18" s="98">
        <v>577</v>
      </c>
      <c r="I18" s="98">
        <v>413.5</v>
      </c>
      <c r="J18" s="96"/>
      <c r="K18" s="96">
        <v>1500</v>
      </c>
      <c r="L18" s="98">
        <f>16.5</f>
        <v>16.5</v>
      </c>
      <c r="M18" s="98">
        <v>2638.28</v>
      </c>
      <c r="N18" s="96">
        <f>40.5</f>
        <v>40.5</v>
      </c>
      <c r="O18" s="96">
        <f>984+31</f>
        <v>1015</v>
      </c>
      <c r="P18" s="96"/>
      <c r="Q18" s="96"/>
      <c r="R18" s="96"/>
      <c r="S18" s="164"/>
      <c r="T18" s="63">
        <f t="shared" si="1"/>
        <v>7907.280000000001</v>
      </c>
      <c r="U18" s="63">
        <f t="shared" si="2"/>
        <v>12092.72</v>
      </c>
    </row>
    <row r="19" spans="1:21" s="64" customFormat="1" ht="12" outlineLevel="1">
      <c r="A19" s="38" t="s">
        <v>55</v>
      </c>
      <c r="B19" s="50" t="s">
        <v>96</v>
      </c>
      <c r="C19" s="51">
        <f>D19/D73</f>
        <v>0.020188968747476378</v>
      </c>
      <c r="D19" s="54">
        <f t="shared" si="0"/>
        <v>500</v>
      </c>
      <c r="E19" s="56">
        <v>6000</v>
      </c>
      <c r="F19" s="97"/>
      <c r="G19" s="123">
        <v>500</v>
      </c>
      <c r="H19" s="98"/>
      <c r="I19" s="98">
        <f>650</f>
        <v>650</v>
      </c>
      <c r="J19" s="96">
        <v>630</v>
      </c>
      <c r="K19" s="96"/>
      <c r="L19" s="98"/>
      <c r="M19" s="98">
        <v>3518</v>
      </c>
      <c r="N19" s="96"/>
      <c r="O19" s="96"/>
      <c r="P19" s="96"/>
      <c r="Q19" s="96"/>
      <c r="R19" s="96"/>
      <c r="S19" s="164"/>
      <c r="T19" s="63">
        <f t="shared" si="1"/>
        <v>5298</v>
      </c>
      <c r="U19" s="63">
        <f t="shared" si="2"/>
        <v>702</v>
      </c>
    </row>
    <row r="20" spans="1:21" s="64" customFormat="1" ht="12" outlineLevel="1">
      <c r="A20" s="38" t="s">
        <v>56</v>
      </c>
      <c r="B20" s="50" t="s">
        <v>91</v>
      </c>
      <c r="C20" s="51">
        <f>D20/D73</f>
        <v>0.05312727125898409</v>
      </c>
      <c r="D20" s="54">
        <f t="shared" si="0"/>
        <v>1315.75</v>
      </c>
      <c r="E20" s="56">
        <f aca="true" t="shared" si="7" ref="E20:S20">SUM(E21:E23)</f>
        <v>15789</v>
      </c>
      <c r="F20" s="97">
        <f t="shared" si="7"/>
        <v>0</v>
      </c>
      <c r="G20" s="98">
        <f t="shared" si="7"/>
        <v>700</v>
      </c>
      <c r="H20" s="98">
        <f t="shared" si="7"/>
        <v>789</v>
      </c>
      <c r="I20" s="98">
        <f t="shared" si="7"/>
        <v>0</v>
      </c>
      <c r="J20" s="98">
        <f t="shared" si="7"/>
        <v>0</v>
      </c>
      <c r="K20" s="98">
        <f t="shared" si="7"/>
        <v>0</v>
      </c>
      <c r="L20" s="98">
        <v>5454</v>
      </c>
      <c r="M20" s="98">
        <f t="shared" si="7"/>
        <v>0</v>
      </c>
      <c r="N20" s="98">
        <f t="shared" si="7"/>
        <v>0</v>
      </c>
      <c r="O20" s="98">
        <f t="shared" si="7"/>
        <v>0</v>
      </c>
      <c r="P20" s="98">
        <f t="shared" si="7"/>
        <v>0</v>
      </c>
      <c r="Q20" s="98">
        <f t="shared" si="7"/>
        <v>0</v>
      </c>
      <c r="R20" s="98">
        <f t="shared" si="7"/>
        <v>0</v>
      </c>
      <c r="S20" s="176">
        <f t="shared" si="7"/>
        <v>0</v>
      </c>
      <c r="T20" s="63">
        <f>SUM(F20:S20)</f>
        <v>6943</v>
      </c>
      <c r="U20" s="63">
        <f t="shared" si="2"/>
        <v>8846</v>
      </c>
    </row>
    <row r="21" spans="1:21" s="12" customFormat="1" ht="12" outlineLevel="2">
      <c r="A21" s="36" t="s">
        <v>88</v>
      </c>
      <c r="B21" s="3" t="s">
        <v>93</v>
      </c>
      <c r="C21" s="45"/>
      <c r="D21" s="18">
        <f t="shared" si="0"/>
        <v>65.75</v>
      </c>
      <c r="E21" s="109">
        <v>789</v>
      </c>
      <c r="F21" s="144"/>
      <c r="G21" s="142"/>
      <c r="H21" s="133">
        <v>789</v>
      </c>
      <c r="I21" s="133"/>
      <c r="J21" s="100"/>
      <c r="K21" s="100"/>
      <c r="L21" s="133"/>
      <c r="M21" s="133"/>
      <c r="N21" s="100"/>
      <c r="O21" s="100"/>
      <c r="P21" s="100"/>
      <c r="Q21" s="100"/>
      <c r="R21" s="100"/>
      <c r="S21" s="167"/>
      <c r="T21" s="21">
        <f>SUM(F21:S21)</f>
        <v>789</v>
      </c>
      <c r="U21" s="21">
        <f t="shared" si="2"/>
        <v>0</v>
      </c>
    </row>
    <row r="22" spans="1:21" s="12" customFormat="1" ht="12" outlineLevel="2">
      <c r="A22" s="36" t="s">
        <v>89</v>
      </c>
      <c r="B22" s="103" t="s">
        <v>167</v>
      </c>
      <c r="C22" s="104"/>
      <c r="D22" s="105">
        <f t="shared" si="0"/>
        <v>833.3333333333334</v>
      </c>
      <c r="E22" s="111">
        <v>10000</v>
      </c>
      <c r="F22" s="99"/>
      <c r="G22" s="142">
        <v>700</v>
      </c>
      <c r="H22" s="133"/>
      <c r="I22" s="133"/>
      <c r="J22" s="100"/>
      <c r="K22" s="100"/>
      <c r="L22" s="133"/>
      <c r="M22" s="133"/>
      <c r="N22" s="100"/>
      <c r="O22" s="100"/>
      <c r="P22" s="100"/>
      <c r="Q22" s="100"/>
      <c r="R22" s="100"/>
      <c r="S22" s="167"/>
      <c r="T22" s="21">
        <f>SUM(F22:S22)</f>
        <v>700</v>
      </c>
      <c r="U22" s="21">
        <f t="shared" si="2"/>
        <v>9300</v>
      </c>
    </row>
    <row r="23" spans="1:21" s="12" customFormat="1" ht="12.75" outlineLevel="2" thickBot="1">
      <c r="A23" s="36" t="s">
        <v>95</v>
      </c>
      <c r="B23" s="103" t="s">
        <v>150</v>
      </c>
      <c r="C23" s="104"/>
      <c r="D23" s="105">
        <f t="shared" si="0"/>
        <v>416.6666666666667</v>
      </c>
      <c r="E23" s="111">
        <v>5000</v>
      </c>
      <c r="F23" s="99"/>
      <c r="G23" s="142"/>
      <c r="H23" s="133"/>
      <c r="I23" s="133"/>
      <c r="J23" s="100"/>
      <c r="K23" s="100"/>
      <c r="L23" s="133"/>
      <c r="M23" s="133"/>
      <c r="N23" s="100"/>
      <c r="O23" s="100"/>
      <c r="P23" s="100"/>
      <c r="Q23" s="100"/>
      <c r="R23" s="100"/>
      <c r="S23" s="167"/>
      <c r="T23" s="21">
        <f>SUM(F23:S23)</f>
        <v>0</v>
      </c>
      <c r="U23" s="21">
        <f t="shared" si="2"/>
        <v>5000</v>
      </c>
    </row>
    <row r="24" spans="1:21" ht="12.75">
      <c r="A24" s="34">
        <v>8</v>
      </c>
      <c r="B24" s="7" t="s">
        <v>14</v>
      </c>
      <c r="C24" s="44">
        <f>D24/D73</f>
        <v>0.08412070311448491</v>
      </c>
      <c r="D24" s="17">
        <f t="shared" si="0"/>
        <v>2083.3333333333335</v>
      </c>
      <c r="E24" s="76">
        <f>SUM(E25:E29)</f>
        <v>25000</v>
      </c>
      <c r="F24" s="91">
        <f aca="true" t="shared" si="8" ref="F24:S24">SUM(F25:F29)</f>
        <v>0</v>
      </c>
      <c r="G24" s="92">
        <f t="shared" si="8"/>
        <v>0</v>
      </c>
      <c r="H24" s="92">
        <f t="shared" si="8"/>
        <v>2351.69</v>
      </c>
      <c r="I24" s="92">
        <f>SUM(I25:I29)</f>
        <v>4627</v>
      </c>
      <c r="J24" s="92">
        <f t="shared" si="8"/>
        <v>2196</v>
      </c>
      <c r="K24" s="92">
        <f t="shared" si="8"/>
        <v>0</v>
      </c>
      <c r="L24" s="92">
        <f t="shared" si="8"/>
        <v>1522.71</v>
      </c>
      <c r="M24" s="92">
        <f t="shared" si="8"/>
        <v>0</v>
      </c>
      <c r="N24" s="92">
        <f t="shared" si="8"/>
        <v>440.2</v>
      </c>
      <c r="O24" s="92">
        <f t="shared" si="8"/>
        <v>0</v>
      </c>
      <c r="P24" s="92">
        <f t="shared" si="8"/>
        <v>0</v>
      </c>
      <c r="Q24" s="92">
        <f t="shared" si="8"/>
        <v>0</v>
      </c>
      <c r="R24" s="92">
        <f t="shared" si="8"/>
        <v>0</v>
      </c>
      <c r="S24" s="175">
        <f t="shared" si="8"/>
        <v>0</v>
      </c>
      <c r="T24" s="27">
        <f>SUM(G24:S24)</f>
        <v>11137.600000000002</v>
      </c>
      <c r="U24" s="27">
        <f t="shared" si="2"/>
        <v>13862.399999999998</v>
      </c>
    </row>
    <row r="25" spans="1:21" s="64" customFormat="1" ht="12" outlineLevel="1">
      <c r="A25" s="38" t="s">
        <v>57</v>
      </c>
      <c r="B25" s="50" t="s">
        <v>15</v>
      </c>
      <c r="C25" s="51">
        <f>D25/D73</f>
        <v>0.023553796872055777</v>
      </c>
      <c r="D25" s="54">
        <f t="shared" si="0"/>
        <v>583.3333333333334</v>
      </c>
      <c r="E25" s="56">
        <v>7000</v>
      </c>
      <c r="F25" s="95"/>
      <c r="G25" s="123"/>
      <c r="H25" s="98">
        <v>300</v>
      </c>
      <c r="I25" s="134"/>
      <c r="J25" s="96"/>
      <c r="K25" s="96"/>
      <c r="L25" s="98">
        <v>1339.71</v>
      </c>
      <c r="M25" s="98"/>
      <c r="N25" s="96">
        <v>440.2</v>
      </c>
      <c r="O25" s="96"/>
      <c r="P25" s="96"/>
      <c r="Q25" s="96"/>
      <c r="R25" s="96"/>
      <c r="S25" s="164"/>
      <c r="T25" s="63">
        <f>SUM(G25:S25)</f>
        <v>2079.91</v>
      </c>
      <c r="U25" s="63">
        <f t="shared" si="2"/>
        <v>4920.09</v>
      </c>
    </row>
    <row r="26" spans="1:21" s="64" customFormat="1" ht="12" outlineLevel="1">
      <c r="A26" s="38" t="s">
        <v>58</v>
      </c>
      <c r="B26" s="50" t="s">
        <v>16</v>
      </c>
      <c r="C26" s="51">
        <f>D26/D73</f>
        <v>0.020188968747476378</v>
      </c>
      <c r="D26" s="54">
        <f t="shared" si="0"/>
        <v>500</v>
      </c>
      <c r="E26" s="56">
        <v>6000</v>
      </c>
      <c r="F26" s="95"/>
      <c r="G26" s="123"/>
      <c r="H26" s="98">
        <v>2051.69</v>
      </c>
      <c r="I26" s="98">
        <v>22</v>
      </c>
      <c r="J26" s="96">
        <v>1246</v>
      </c>
      <c r="K26" s="96"/>
      <c r="L26" s="98"/>
      <c r="M26" s="98"/>
      <c r="N26" s="96"/>
      <c r="O26" s="96"/>
      <c r="P26" s="96"/>
      <c r="Q26" s="96"/>
      <c r="R26" s="96"/>
      <c r="S26" s="164"/>
      <c r="T26" s="63">
        <f>SUM(G26:S26)</f>
        <v>3319.69</v>
      </c>
      <c r="U26" s="63">
        <f t="shared" si="2"/>
        <v>2680.31</v>
      </c>
    </row>
    <row r="27" spans="1:21" s="64" customFormat="1" ht="12" outlineLevel="1">
      <c r="A27" s="38" t="s">
        <v>59</v>
      </c>
      <c r="B27" s="50" t="s">
        <v>17</v>
      </c>
      <c r="C27" s="51">
        <f>D27/D73</f>
        <v>0.020188968747476378</v>
      </c>
      <c r="D27" s="54">
        <f t="shared" si="0"/>
        <v>500</v>
      </c>
      <c r="E27" s="56">
        <v>6000</v>
      </c>
      <c r="F27" s="95"/>
      <c r="G27" s="123"/>
      <c r="H27" s="98"/>
      <c r="I27" s="98"/>
      <c r="J27" s="96">
        <v>950</v>
      </c>
      <c r="K27" s="96"/>
      <c r="L27" s="98"/>
      <c r="M27" s="98"/>
      <c r="N27" s="96"/>
      <c r="O27" s="96"/>
      <c r="P27" s="96"/>
      <c r="Q27" s="96"/>
      <c r="R27" s="96"/>
      <c r="S27" s="164"/>
      <c r="T27" s="63">
        <f aca="true" t="shared" si="9" ref="T27:T70">SUM(G27:S27)</f>
        <v>950</v>
      </c>
      <c r="U27" s="63">
        <f t="shared" si="2"/>
        <v>5050</v>
      </c>
    </row>
    <row r="28" spans="1:21" s="64" customFormat="1" ht="12" outlineLevel="1">
      <c r="A28" s="38" t="s">
        <v>60</v>
      </c>
      <c r="B28" s="50" t="s">
        <v>18</v>
      </c>
      <c r="C28" s="51">
        <f>D28/D73</f>
        <v>0.003364828124579396</v>
      </c>
      <c r="D28" s="54">
        <f t="shared" si="0"/>
        <v>83.33333333333333</v>
      </c>
      <c r="E28" s="56">
        <v>1000</v>
      </c>
      <c r="F28" s="95"/>
      <c r="G28" s="123"/>
      <c r="H28" s="98"/>
      <c r="I28" s="98"/>
      <c r="J28" s="96"/>
      <c r="K28" s="96"/>
      <c r="L28" s="98">
        <v>183</v>
      </c>
      <c r="M28" s="98"/>
      <c r="N28" s="96"/>
      <c r="O28" s="96"/>
      <c r="P28" s="96"/>
      <c r="Q28" s="96"/>
      <c r="R28" s="96"/>
      <c r="S28" s="164"/>
      <c r="T28" s="63">
        <f t="shared" si="9"/>
        <v>183</v>
      </c>
      <c r="U28" s="63">
        <f t="shared" si="2"/>
        <v>817</v>
      </c>
    </row>
    <row r="29" spans="1:21" s="64" customFormat="1" ht="12.75" outlineLevel="1" thickBot="1">
      <c r="A29" s="39" t="s">
        <v>61</v>
      </c>
      <c r="B29" s="59" t="s">
        <v>114</v>
      </c>
      <c r="C29" s="60">
        <f>D29/D73</f>
        <v>0.016824140622896982</v>
      </c>
      <c r="D29" s="55">
        <f t="shared" si="0"/>
        <v>416.6666666666667</v>
      </c>
      <c r="E29" s="77">
        <v>5000</v>
      </c>
      <c r="F29" s="101"/>
      <c r="G29" s="143"/>
      <c r="I29" s="135">
        <v>4605</v>
      </c>
      <c r="J29" s="102"/>
      <c r="K29" s="102"/>
      <c r="L29" s="135"/>
      <c r="M29" s="135"/>
      <c r="N29" s="102"/>
      <c r="O29" s="102"/>
      <c r="P29" s="102"/>
      <c r="Q29" s="102"/>
      <c r="R29" s="102"/>
      <c r="S29" s="165"/>
      <c r="T29" s="78">
        <f t="shared" si="9"/>
        <v>4605</v>
      </c>
      <c r="U29" s="78">
        <f t="shared" si="2"/>
        <v>395</v>
      </c>
    </row>
    <row r="30" spans="1:21" ht="25.5">
      <c r="A30" s="34">
        <v>9</v>
      </c>
      <c r="B30" s="8" t="s">
        <v>19</v>
      </c>
      <c r="C30" s="48">
        <f>D30/D73</f>
        <v>0.9482085655064739</v>
      </c>
      <c r="D30" s="49">
        <f t="shared" si="0"/>
        <v>23483.333333333332</v>
      </c>
      <c r="E30" s="112">
        <f aca="true" t="shared" si="10" ref="E30:S30">SUM(E31:E41)</f>
        <v>281800</v>
      </c>
      <c r="F30" s="93">
        <f t="shared" si="10"/>
        <v>68460</v>
      </c>
      <c r="G30" s="94">
        <f t="shared" si="10"/>
        <v>0</v>
      </c>
      <c r="H30" s="94">
        <f t="shared" si="10"/>
        <v>18776.739999999998</v>
      </c>
      <c r="I30" s="94">
        <f t="shared" si="10"/>
        <v>51239</v>
      </c>
      <c r="J30" s="94">
        <f t="shared" si="10"/>
        <v>7700</v>
      </c>
      <c r="K30" s="94">
        <f t="shared" si="10"/>
        <v>6148</v>
      </c>
      <c r="L30" s="94">
        <f t="shared" si="10"/>
        <v>17082.739999999998</v>
      </c>
      <c r="M30" s="94">
        <f t="shared" si="10"/>
        <v>3952</v>
      </c>
      <c r="N30" s="94">
        <f t="shared" si="10"/>
        <v>46400</v>
      </c>
      <c r="O30" s="94">
        <f t="shared" si="10"/>
        <v>22600</v>
      </c>
      <c r="P30" s="94">
        <f t="shared" si="10"/>
        <v>0</v>
      </c>
      <c r="Q30" s="94">
        <f t="shared" si="10"/>
        <v>0</v>
      </c>
      <c r="R30" s="94">
        <f t="shared" si="10"/>
        <v>0</v>
      </c>
      <c r="S30" s="177">
        <f t="shared" si="10"/>
        <v>0</v>
      </c>
      <c r="T30" s="187">
        <f t="shared" si="9"/>
        <v>173898.47999999998</v>
      </c>
      <c r="U30" s="188">
        <f t="shared" si="2"/>
        <v>107901.52000000002</v>
      </c>
    </row>
    <row r="31" spans="1:21" s="64" customFormat="1" ht="12" outlineLevel="1">
      <c r="A31" s="38" t="s">
        <v>62</v>
      </c>
      <c r="B31" s="50" t="s">
        <v>119</v>
      </c>
      <c r="C31" s="51">
        <f>D31/D73</f>
        <v>0.05652911249293386</v>
      </c>
      <c r="D31" s="54">
        <f t="shared" si="0"/>
        <v>1400</v>
      </c>
      <c r="E31" s="56">
        <v>16800</v>
      </c>
      <c r="F31" s="174">
        <v>1200</v>
      </c>
      <c r="G31" s="98"/>
      <c r="H31" s="98">
        <v>1200</v>
      </c>
      <c r="I31" s="98">
        <v>1200</v>
      </c>
      <c r="J31" s="98">
        <v>1200</v>
      </c>
      <c r="K31" s="98">
        <v>1200</v>
      </c>
      <c r="L31" s="98">
        <v>1200</v>
      </c>
      <c r="M31" s="98">
        <v>1200</v>
      </c>
      <c r="N31" s="98">
        <v>1200</v>
      </c>
      <c r="O31" s="98">
        <v>1200</v>
      </c>
      <c r="P31" s="98"/>
      <c r="Q31" s="96"/>
      <c r="R31" s="96"/>
      <c r="S31" s="164"/>
      <c r="T31" s="63">
        <f t="shared" si="9"/>
        <v>9600</v>
      </c>
      <c r="U31" s="63">
        <f t="shared" si="2"/>
        <v>7200</v>
      </c>
    </row>
    <row r="32" spans="1:21" s="64" customFormat="1" ht="12" outlineLevel="1">
      <c r="A32" s="38" t="s">
        <v>63</v>
      </c>
      <c r="B32" s="106" t="s">
        <v>72</v>
      </c>
      <c r="C32" s="51">
        <f>D32/D73</f>
        <v>0.1850655468518668</v>
      </c>
      <c r="D32" s="54">
        <f t="shared" si="0"/>
        <v>4583.333333333333</v>
      </c>
      <c r="E32" s="56">
        <v>55000</v>
      </c>
      <c r="F32" s="95"/>
      <c r="G32" s="123"/>
      <c r="H32" s="98">
        <v>12529.74</v>
      </c>
      <c r="I32" s="98">
        <v>15172</v>
      </c>
      <c r="J32" s="96"/>
      <c r="K32" s="96"/>
      <c r="L32" s="98">
        <f>4000+1379</f>
        <v>5379</v>
      </c>
      <c r="M32" s="98"/>
      <c r="N32" s="96">
        <v>4000</v>
      </c>
      <c r="O32" s="96">
        <v>11200</v>
      </c>
      <c r="P32" s="96"/>
      <c r="Q32" s="96"/>
      <c r="R32" s="96"/>
      <c r="S32" s="164"/>
      <c r="T32" s="63">
        <f t="shared" si="9"/>
        <v>48280.74</v>
      </c>
      <c r="U32" s="63">
        <f t="shared" si="2"/>
        <v>6719.260000000002</v>
      </c>
    </row>
    <row r="33" spans="1:21" s="64" customFormat="1" ht="12" outlineLevel="1">
      <c r="A33" s="38" t="s">
        <v>64</v>
      </c>
      <c r="B33" s="107" t="s">
        <v>20</v>
      </c>
      <c r="C33" s="51">
        <f>D33/D73</f>
        <v>0.1009448437373819</v>
      </c>
      <c r="D33" s="54">
        <f t="shared" si="0"/>
        <v>2500</v>
      </c>
      <c r="E33" s="56">
        <v>30000</v>
      </c>
      <c r="F33" s="95">
        <v>2500</v>
      </c>
      <c r="G33" s="123"/>
      <c r="H33" s="98">
        <v>2500</v>
      </c>
      <c r="I33" s="98">
        <v>2500</v>
      </c>
      <c r="J33" s="98">
        <v>2500</v>
      </c>
      <c r="K33" s="98">
        <v>2500</v>
      </c>
      <c r="L33" s="98">
        <v>2500</v>
      </c>
      <c r="M33" s="98">
        <f>2500+252</f>
        <v>2752</v>
      </c>
      <c r="N33" s="98">
        <f>2500+700</f>
        <v>3200</v>
      </c>
      <c r="O33" s="98"/>
      <c r="P33" s="98"/>
      <c r="Q33" s="96"/>
      <c r="R33" s="96"/>
      <c r="S33" s="164"/>
      <c r="T33" s="63">
        <f t="shared" si="9"/>
        <v>18452</v>
      </c>
      <c r="U33" s="63">
        <f t="shared" si="2"/>
        <v>11548</v>
      </c>
    </row>
    <row r="34" spans="1:21" s="64" customFormat="1" ht="12" outlineLevel="1">
      <c r="A34" s="38" t="s">
        <v>65</v>
      </c>
      <c r="B34" s="50" t="s">
        <v>21</v>
      </c>
      <c r="C34" s="51">
        <f>D34/D73</f>
        <v>0.1009448437373819</v>
      </c>
      <c r="D34" s="54">
        <f t="shared" si="0"/>
        <v>2500</v>
      </c>
      <c r="E34" s="56">
        <v>30000</v>
      </c>
      <c r="F34" s="95"/>
      <c r="G34" s="123"/>
      <c r="H34" s="98"/>
      <c r="I34" s="98"/>
      <c r="J34" s="96"/>
      <c r="K34" s="96"/>
      <c r="L34" s="98">
        <v>2903.74</v>
      </c>
      <c r="M34" s="98"/>
      <c r="N34" s="96"/>
      <c r="O34" s="96"/>
      <c r="P34" s="96"/>
      <c r="Q34" s="96"/>
      <c r="R34" s="96"/>
      <c r="S34" s="164"/>
      <c r="T34" s="63">
        <f t="shared" si="9"/>
        <v>2903.74</v>
      </c>
      <c r="U34" s="63">
        <f t="shared" si="2"/>
        <v>27096.260000000002</v>
      </c>
    </row>
    <row r="35" spans="1:21" s="64" customFormat="1" ht="12" outlineLevel="1">
      <c r="A35" s="38" t="s">
        <v>66</v>
      </c>
      <c r="B35" s="50" t="s">
        <v>22</v>
      </c>
      <c r="C35" s="51">
        <f>D35/D73</f>
        <v>0.033648281245793964</v>
      </c>
      <c r="D35" s="54">
        <f t="shared" si="0"/>
        <v>833.3333333333334</v>
      </c>
      <c r="E35" s="56">
        <v>10000</v>
      </c>
      <c r="F35" s="97">
        <v>5000</v>
      </c>
      <c r="G35" s="123"/>
      <c r="H35" s="98"/>
      <c r="I35" s="98"/>
      <c r="J35" s="96"/>
      <c r="K35" s="96"/>
      <c r="L35" s="98"/>
      <c r="M35" s="98"/>
      <c r="N35" s="96"/>
      <c r="O35" s="96"/>
      <c r="P35" s="96"/>
      <c r="Q35" s="96"/>
      <c r="R35" s="96"/>
      <c r="S35" s="164"/>
      <c r="T35" s="63">
        <f t="shared" si="9"/>
        <v>0</v>
      </c>
      <c r="U35" s="63">
        <f t="shared" si="2"/>
        <v>10000</v>
      </c>
    </row>
    <row r="36" spans="1:21" s="64" customFormat="1" ht="12" outlineLevel="1">
      <c r="A36" s="38" t="s">
        <v>67</v>
      </c>
      <c r="B36" s="50" t="s">
        <v>23</v>
      </c>
      <c r="C36" s="51">
        <f>D36/D73</f>
        <v>0</v>
      </c>
      <c r="D36" s="54">
        <f t="shared" si="0"/>
        <v>0</v>
      </c>
      <c r="E36" s="56">
        <v>0</v>
      </c>
      <c r="F36" s="95"/>
      <c r="G36" s="123"/>
      <c r="H36" s="98"/>
      <c r="I36" s="98"/>
      <c r="J36" s="96"/>
      <c r="K36" s="96"/>
      <c r="L36" s="98"/>
      <c r="M36" s="98"/>
      <c r="N36" s="96"/>
      <c r="O36" s="96"/>
      <c r="P36" s="96"/>
      <c r="Q36" s="96"/>
      <c r="R36" s="96"/>
      <c r="S36" s="164"/>
      <c r="T36" s="63">
        <f t="shared" si="9"/>
        <v>0</v>
      </c>
      <c r="U36" s="63">
        <f t="shared" si="2"/>
        <v>0</v>
      </c>
    </row>
    <row r="37" spans="1:21" s="64" customFormat="1" ht="12" outlineLevel="1">
      <c r="A37" s="38" t="s">
        <v>68</v>
      </c>
      <c r="B37" s="50" t="s">
        <v>24</v>
      </c>
      <c r="C37" s="51">
        <f>D37/D73</f>
        <v>0</v>
      </c>
      <c r="D37" s="54">
        <f t="shared" si="0"/>
        <v>0</v>
      </c>
      <c r="E37" s="56">
        <v>0</v>
      </c>
      <c r="F37" s="95"/>
      <c r="G37" s="123"/>
      <c r="H37" s="98" t="s">
        <v>168</v>
      </c>
      <c r="I37" s="98"/>
      <c r="J37" s="96"/>
      <c r="K37" s="96"/>
      <c r="L37" s="98"/>
      <c r="M37" s="98"/>
      <c r="N37" s="96"/>
      <c r="O37" s="96"/>
      <c r="P37" s="96"/>
      <c r="Q37" s="96"/>
      <c r="R37" s="96"/>
      <c r="S37" s="164"/>
      <c r="T37" s="63">
        <f t="shared" si="9"/>
        <v>0</v>
      </c>
      <c r="U37" s="63">
        <f t="shared" si="2"/>
        <v>0</v>
      </c>
    </row>
    <row r="38" spans="1:21" s="64" customFormat="1" ht="12" outlineLevel="1">
      <c r="A38" s="38" t="s">
        <v>69</v>
      </c>
      <c r="B38" s="50" t="s">
        <v>108</v>
      </c>
      <c r="C38" s="51">
        <f>D38/D73</f>
        <v>0.16824140622896983</v>
      </c>
      <c r="D38" s="54">
        <f t="shared" si="0"/>
        <v>4166.666666666667</v>
      </c>
      <c r="E38" s="56">
        <v>50000</v>
      </c>
      <c r="F38" s="95"/>
      <c r="G38" s="123"/>
      <c r="H38" s="98"/>
      <c r="I38" s="98">
        <v>2000</v>
      </c>
      <c r="J38" s="96"/>
      <c r="K38" s="96"/>
      <c r="L38" s="98"/>
      <c r="M38" s="98"/>
      <c r="N38" s="96">
        <v>18000</v>
      </c>
      <c r="O38" s="96"/>
      <c r="P38" s="96"/>
      <c r="Q38" s="96"/>
      <c r="R38" s="96"/>
      <c r="S38" s="164"/>
      <c r="T38" s="63">
        <f t="shared" si="9"/>
        <v>20000</v>
      </c>
      <c r="U38" s="63">
        <f t="shared" si="2"/>
        <v>30000</v>
      </c>
    </row>
    <row r="39" spans="1:21" s="64" customFormat="1" ht="12" outlineLevel="1">
      <c r="A39" s="38" t="s">
        <v>70</v>
      </c>
      <c r="B39" s="79" t="s">
        <v>105</v>
      </c>
      <c r="C39" s="51">
        <f>D39/D73</f>
        <v>0.15141726560607285</v>
      </c>
      <c r="D39" s="54">
        <f t="shared" si="0"/>
        <v>3750</v>
      </c>
      <c r="E39" s="56">
        <v>45000</v>
      </c>
      <c r="F39" s="95">
        <v>59760</v>
      </c>
      <c r="G39" s="123"/>
      <c r="H39" s="98">
        <v>2547</v>
      </c>
      <c r="I39" s="98">
        <f>18344+2523</f>
        <v>20867</v>
      </c>
      <c r="J39" s="96">
        <f>4000</f>
        <v>4000</v>
      </c>
      <c r="K39" s="96">
        <v>2448</v>
      </c>
      <c r="L39" s="98">
        <v>1600</v>
      </c>
      <c r="M39" s="98"/>
      <c r="N39" s="96"/>
      <c r="O39" s="96">
        <v>6700</v>
      </c>
      <c r="P39" s="96"/>
      <c r="Q39" s="96"/>
      <c r="R39" s="96"/>
      <c r="S39" s="164"/>
      <c r="T39" s="63">
        <f t="shared" si="9"/>
        <v>38162</v>
      </c>
      <c r="U39" s="63">
        <f t="shared" si="2"/>
        <v>6838</v>
      </c>
    </row>
    <row r="40" spans="1:21" s="64" customFormat="1" ht="12" outlineLevel="1">
      <c r="A40" s="38" t="s">
        <v>71</v>
      </c>
      <c r="B40" s="50" t="s">
        <v>25</v>
      </c>
      <c r="C40" s="51">
        <f>D40/D73</f>
        <v>0.08412070311448491</v>
      </c>
      <c r="D40" s="54">
        <f t="shared" si="0"/>
        <v>2083.3333333333335</v>
      </c>
      <c r="E40" s="56">
        <v>25000</v>
      </c>
      <c r="F40" s="101"/>
      <c r="G40" s="143"/>
      <c r="H40" s="135"/>
      <c r="I40" s="135">
        <v>9500</v>
      </c>
      <c r="J40" s="102"/>
      <c r="K40" s="102"/>
      <c r="L40" s="135">
        <v>3500</v>
      </c>
      <c r="M40" s="135"/>
      <c r="N40" s="102"/>
      <c r="O40" s="102">
        <f>2500+1000</f>
        <v>3500</v>
      </c>
      <c r="P40" s="102"/>
      <c r="Q40" s="102"/>
      <c r="R40" s="102"/>
      <c r="S40" s="165"/>
      <c r="T40" s="63">
        <f t="shared" si="9"/>
        <v>16500</v>
      </c>
      <c r="U40" s="63">
        <f t="shared" si="2"/>
        <v>8500</v>
      </c>
    </row>
    <row r="41" spans="1:21" s="64" customFormat="1" ht="12.75" outlineLevel="1" thickBot="1">
      <c r="A41" s="38" t="s">
        <v>112</v>
      </c>
      <c r="B41" s="64" t="s">
        <v>140</v>
      </c>
      <c r="C41" s="51">
        <f>D41/D73</f>
        <v>0.06729656249158793</v>
      </c>
      <c r="D41" s="54">
        <f aca="true" t="shared" si="11" ref="D41:D71">E41/12</f>
        <v>1666.6666666666667</v>
      </c>
      <c r="E41" s="56">
        <v>20000</v>
      </c>
      <c r="F41" s="95"/>
      <c r="G41" s="123"/>
      <c r="H41" s="98"/>
      <c r="I41" s="98"/>
      <c r="J41" s="96"/>
      <c r="K41" s="96"/>
      <c r="L41" s="98"/>
      <c r="M41" s="98"/>
      <c r="N41" s="96">
        <v>20000</v>
      </c>
      <c r="O41" s="96"/>
      <c r="P41" s="96"/>
      <c r="Q41" s="96"/>
      <c r="R41" s="96"/>
      <c r="S41" s="164"/>
      <c r="T41" s="78">
        <f t="shared" si="9"/>
        <v>20000</v>
      </c>
      <c r="U41" s="63">
        <f t="shared" si="2"/>
        <v>0</v>
      </c>
    </row>
    <row r="42" spans="1:21" ht="12.75">
      <c r="A42" s="34">
        <v>10</v>
      </c>
      <c r="B42" s="7" t="s">
        <v>100</v>
      </c>
      <c r="C42" s="44">
        <f>D42/D73</f>
        <v>0.7111968020673504</v>
      </c>
      <c r="D42" s="17">
        <f t="shared" si="11"/>
        <v>17613.5</v>
      </c>
      <c r="E42" s="76">
        <f>SUM(E43:E49)</f>
        <v>211362</v>
      </c>
      <c r="F42" s="91">
        <f>SUM(F43:F49)</f>
        <v>6404.38</v>
      </c>
      <c r="G42" s="92">
        <f>SUM(G43:G49)</f>
        <v>573.6</v>
      </c>
      <c r="H42" s="92">
        <f>SUM(H43:H49)</f>
        <v>4187.5</v>
      </c>
      <c r="I42" s="92">
        <f aca="true" t="shared" si="12" ref="I42:S42">SUM(I43:I49)</f>
        <v>4832.55</v>
      </c>
      <c r="J42" s="92">
        <f t="shared" si="12"/>
        <v>14224</v>
      </c>
      <c r="K42" s="92">
        <f t="shared" si="12"/>
        <v>7366.8</v>
      </c>
      <c r="L42" s="92">
        <f t="shared" si="12"/>
        <v>14169.29</v>
      </c>
      <c r="M42" s="92">
        <f t="shared" si="12"/>
        <v>0</v>
      </c>
      <c r="N42" s="92">
        <f t="shared" si="12"/>
        <v>24099</v>
      </c>
      <c r="O42" s="92">
        <f t="shared" si="12"/>
        <v>603</v>
      </c>
      <c r="P42" s="92">
        <f t="shared" si="12"/>
        <v>0</v>
      </c>
      <c r="Q42" s="92">
        <f t="shared" si="12"/>
        <v>0</v>
      </c>
      <c r="R42" s="92">
        <f t="shared" si="12"/>
        <v>0</v>
      </c>
      <c r="S42" s="92">
        <f t="shared" si="12"/>
        <v>0</v>
      </c>
      <c r="T42" s="186">
        <f t="shared" si="9"/>
        <v>70055.74</v>
      </c>
      <c r="U42" s="27">
        <f t="shared" si="2"/>
        <v>141306.26</v>
      </c>
    </row>
    <row r="43" spans="1:21" s="64" customFormat="1" ht="12" outlineLevel="1">
      <c r="A43" s="38" t="s">
        <v>73</v>
      </c>
      <c r="B43" s="50" t="s">
        <v>107</v>
      </c>
      <c r="C43" s="51">
        <f>D43/D73</f>
        <v>0.06729656249158793</v>
      </c>
      <c r="D43" s="54">
        <f t="shared" si="11"/>
        <v>1666.6666666666667</v>
      </c>
      <c r="E43" s="56">
        <v>20000</v>
      </c>
      <c r="F43" s="95"/>
      <c r="G43" s="123"/>
      <c r="H43" s="98"/>
      <c r="I43" s="98"/>
      <c r="J43" s="96"/>
      <c r="K43" s="96">
        <v>1504.8</v>
      </c>
      <c r="L43" s="98">
        <f>2526.6</f>
        <v>2526.6</v>
      </c>
      <c r="M43" s="98"/>
      <c r="N43" s="96"/>
      <c r="O43" s="98"/>
      <c r="P43" s="96"/>
      <c r="Q43" s="96"/>
      <c r="R43" s="96"/>
      <c r="S43" s="164"/>
      <c r="T43" s="63">
        <f t="shared" si="9"/>
        <v>4031.3999999999996</v>
      </c>
      <c r="U43" s="63">
        <f t="shared" si="2"/>
        <v>15968.6</v>
      </c>
    </row>
    <row r="44" spans="1:21" s="64" customFormat="1" ht="12" outlineLevel="1">
      <c r="A44" s="38" t="s">
        <v>74</v>
      </c>
      <c r="B44" s="50" t="s">
        <v>118</v>
      </c>
      <c r="C44" s="51">
        <f>D44/D73</f>
        <v>0.12618105467172736</v>
      </c>
      <c r="D44" s="54">
        <f t="shared" si="11"/>
        <v>3125</v>
      </c>
      <c r="E44" s="56">
        <v>37500</v>
      </c>
      <c r="F44" s="97">
        <v>4833</v>
      </c>
      <c r="G44" s="123">
        <v>573.6</v>
      </c>
      <c r="H44" s="98">
        <f>2520+447.5</f>
        <v>2967.5</v>
      </c>
      <c r="I44" s="123">
        <f>1741.5+1782</f>
        <v>3523.5</v>
      </c>
      <c r="J44" s="98">
        <f>328</f>
        <v>328</v>
      </c>
      <c r="K44" s="123"/>
      <c r="L44" s="98">
        <f>3297+1540.26</f>
        <v>4837.26</v>
      </c>
      <c r="M44" s="123"/>
      <c r="N44" s="98">
        <f>150+90+55+640</f>
        <v>935</v>
      </c>
      <c r="O44" s="123">
        <f>270+55+135+143</f>
        <v>603</v>
      </c>
      <c r="P44" s="98"/>
      <c r="Q44" s="123"/>
      <c r="R44" s="98"/>
      <c r="S44" s="178"/>
      <c r="T44" s="63">
        <f t="shared" si="9"/>
        <v>13767.86</v>
      </c>
      <c r="U44" s="63">
        <f t="shared" si="2"/>
        <v>23732.14</v>
      </c>
    </row>
    <row r="45" spans="1:21" s="64" customFormat="1" ht="12" outlineLevel="1">
      <c r="A45" s="38" t="s">
        <v>75</v>
      </c>
      <c r="B45" s="50" t="s">
        <v>104</v>
      </c>
      <c r="C45" s="51">
        <f>D45/D73</f>
        <v>0.0942151874882231</v>
      </c>
      <c r="D45" s="54">
        <f t="shared" si="11"/>
        <v>2333.3333333333335</v>
      </c>
      <c r="E45" s="56">
        <v>28000</v>
      </c>
      <c r="F45" s="95"/>
      <c r="G45" s="123"/>
      <c r="H45" s="98"/>
      <c r="I45" s="98"/>
      <c r="J45" s="96">
        <v>10000</v>
      </c>
      <c r="K45" s="96"/>
      <c r="L45" s="98"/>
      <c r="M45" s="98"/>
      <c r="N45" s="96"/>
      <c r="O45" s="96"/>
      <c r="P45" s="96"/>
      <c r="Q45" s="96"/>
      <c r="R45" s="96"/>
      <c r="S45" s="164"/>
      <c r="T45" s="63">
        <f t="shared" si="9"/>
        <v>10000</v>
      </c>
      <c r="U45" s="63">
        <f t="shared" si="2"/>
        <v>18000</v>
      </c>
    </row>
    <row r="46" spans="1:21" s="64" customFormat="1" ht="12" outlineLevel="1">
      <c r="A46" s="38" t="s">
        <v>97</v>
      </c>
      <c r="B46" s="50" t="s">
        <v>28</v>
      </c>
      <c r="C46" s="51">
        <f>D46/D73</f>
        <v>0.033648281245793964</v>
      </c>
      <c r="D46" s="54">
        <f t="shared" si="11"/>
        <v>833.3333333333334</v>
      </c>
      <c r="E46" s="56">
        <v>10000</v>
      </c>
      <c r="F46" s="95"/>
      <c r="G46" s="123"/>
      <c r="H46" s="98"/>
      <c r="I46" s="98"/>
      <c r="J46" s="96">
        <v>1200</v>
      </c>
      <c r="K46" s="96"/>
      <c r="L46" s="98"/>
      <c r="M46" s="98"/>
      <c r="N46" s="96"/>
      <c r="O46" s="96"/>
      <c r="P46" s="96"/>
      <c r="Q46" s="96"/>
      <c r="R46" s="96"/>
      <c r="S46" s="164"/>
      <c r="T46" s="63">
        <f t="shared" si="9"/>
        <v>1200</v>
      </c>
      <c r="U46" s="63">
        <f t="shared" si="2"/>
        <v>8800</v>
      </c>
    </row>
    <row r="47" spans="1:21" s="64" customFormat="1" ht="12" outlineLevel="1">
      <c r="A47" s="38" t="s">
        <v>101</v>
      </c>
      <c r="B47" s="79" t="s">
        <v>102</v>
      </c>
      <c r="C47" s="51">
        <f>D47/D73</f>
        <v>0.033648281245793964</v>
      </c>
      <c r="D47" s="54">
        <f t="shared" si="11"/>
        <v>833.3333333333334</v>
      </c>
      <c r="E47" s="56">
        <v>10000</v>
      </c>
      <c r="F47" s="95"/>
      <c r="G47" s="123"/>
      <c r="H47" s="98"/>
      <c r="I47" s="98"/>
      <c r="J47" s="96"/>
      <c r="K47" s="96"/>
      <c r="L47" s="98"/>
      <c r="M47" s="98"/>
      <c r="N47" s="96"/>
      <c r="O47" s="96"/>
      <c r="P47" s="96"/>
      <c r="Q47" s="96"/>
      <c r="R47" s="96"/>
      <c r="S47" s="164"/>
      <c r="T47" s="63">
        <f t="shared" si="9"/>
        <v>0</v>
      </c>
      <c r="U47" s="63">
        <f t="shared" si="2"/>
        <v>10000</v>
      </c>
    </row>
    <row r="48" spans="1:21" s="64" customFormat="1" ht="12" outlineLevel="1">
      <c r="A48" s="38" t="s">
        <v>106</v>
      </c>
      <c r="B48" s="50" t="s">
        <v>156</v>
      </c>
      <c r="C48" s="51">
        <f>D48/D73</f>
        <v>0.33648281245793965</v>
      </c>
      <c r="D48" s="54">
        <f>E48/12</f>
        <v>8333.333333333334</v>
      </c>
      <c r="E48" s="56">
        <v>100000</v>
      </c>
      <c r="F48" s="95">
        <v>1571.38</v>
      </c>
      <c r="G48" s="123"/>
      <c r="H48" s="98">
        <v>1220</v>
      </c>
      <c r="I48" s="98">
        <v>1309.05</v>
      </c>
      <c r="J48" s="96">
        <v>2696</v>
      </c>
      <c r="K48" s="96"/>
      <c r="L48" s="98">
        <f>5376.8+1428.63</f>
        <v>6805.43</v>
      </c>
      <c r="M48" s="98"/>
      <c r="N48" s="96">
        <f>16340+5850+824+150</f>
        <v>23164</v>
      </c>
      <c r="O48" s="96"/>
      <c r="P48" s="96"/>
      <c r="Q48" s="96"/>
      <c r="R48" s="96"/>
      <c r="S48" s="179"/>
      <c r="T48" s="63">
        <f t="shared" si="9"/>
        <v>35194.479999999996</v>
      </c>
      <c r="U48" s="63">
        <f t="shared" si="2"/>
        <v>64805.520000000004</v>
      </c>
    </row>
    <row r="49" spans="1:21" s="64" customFormat="1" ht="12.75" outlineLevel="1" thickBot="1">
      <c r="A49" s="38" t="s">
        <v>109</v>
      </c>
      <c r="B49" s="79" t="s">
        <v>115</v>
      </c>
      <c r="C49" s="51">
        <f>D49/D73</f>
        <v>0.01972462246628442</v>
      </c>
      <c r="D49" s="54">
        <f t="shared" si="11"/>
        <v>488.5</v>
      </c>
      <c r="E49" s="56">
        <v>5862</v>
      </c>
      <c r="F49" s="95"/>
      <c r="G49" s="123"/>
      <c r="H49" s="98"/>
      <c r="I49" s="98"/>
      <c r="J49" s="96"/>
      <c r="K49" s="96">
        <v>5862</v>
      </c>
      <c r="L49" s="98"/>
      <c r="M49" s="98"/>
      <c r="N49" s="96"/>
      <c r="O49" s="96"/>
      <c r="P49" s="96"/>
      <c r="Q49" s="96"/>
      <c r="R49" s="96"/>
      <c r="S49" s="164"/>
      <c r="T49" s="78">
        <f t="shared" si="9"/>
        <v>5862</v>
      </c>
      <c r="U49" s="63">
        <f t="shared" si="2"/>
        <v>0</v>
      </c>
    </row>
    <row r="50" spans="1:21" ht="12.75">
      <c r="A50" s="34">
        <v>11</v>
      </c>
      <c r="B50" s="7" t="s">
        <v>98</v>
      </c>
      <c r="C50" s="44">
        <f>D50/D73</f>
        <v>3.178154189883981</v>
      </c>
      <c r="D50" s="17">
        <f t="shared" si="11"/>
        <v>78710.16666666667</v>
      </c>
      <c r="E50" s="76">
        <f aca="true" t="shared" si="13" ref="E50:J50">SUM(E51:E66)</f>
        <v>944522</v>
      </c>
      <c r="F50" s="91">
        <f t="shared" si="13"/>
        <v>11550</v>
      </c>
      <c r="G50" s="122">
        <f t="shared" si="13"/>
        <v>0</v>
      </c>
      <c r="H50" s="92">
        <f t="shared" si="13"/>
        <v>3600</v>
      </c>
      <c r="I50" s="92">
        <f t="shared" si="13"/>
        <v>4068</v>
      </c>
      <c r="J50" s="92">
        <f t="shared" si="13"/>
        <v>50310</v>
      </c>
      <c r="K50" s="122">
        <f aca="true" t="shared" si="14" ref="K50:S50">SUM(K51:K66)</f>
        <v>52055</v>
      </c>
      <c r="L50" s="92">
        <f t="shared" si="14"/>
        <v>1235.86</v>
      </c>
      <c r="M50" s="92">
        <f t="shared" si="14"/>
        <v>187270</v>
      </c>
      <c r="N50" s="92">
        <f t="shared" si="14"/>
        <v>54302</v>
      </c>
      <c r="O50" s="122">
        <f t="shared" si="14"/>
        <v>97810</v>
      </c>
      <c r="P50" s="92">
        <f t="shared" si="14"/>
        <v>0</v>
      </c>
      <c r="Q50" s="92">
        <f t="shared" si="14"/>
        <v>0</v>
      </c>
      <c r="R50" s="92">
        <f t="shared" si="14"/>
        <v>0</v>
      </c>
      <c r="S50" s="180">
        <f t="shared" si="14"/>
        <v>0</v>
      </c>
      <c r="T50" s="186">
        <f t="shared" si="9"/>
        <v>450650.86</v>
      </c>
      <c r="U50" s="27">
        <f t="shared" si="2"/>
        <v>493871.14</v>
      </c>
    </row>
    <row r="51" spans="1:21" s="64" customFormat="1" ht="12" outlineLevel="1">
      <c r="A51" s="38" t="s">
        <v>76</v>
      </c>
      <c r="B51" s="50" t="s">
        <v>169</v>
      </c>
      <c r="C51" s="51">
        <f>D51/D73</f>
        <v>0.25570674849928665</v>
      </c>
      <c r="D51" s="54">
        <f t="shared" si="11"/>
        <v>6332.833333333333</v>
      </c>
      <c r="E51" s="56">
        <v>75994</v>
      </c>
      <c r="F51" s="95"/>
      <c r="G51" s="123"/>
      <c r="H51" s="98"/>
      <c r="I51" s="98"/>
      <c r="J51" s="96"/>
      <c r="K51" s="96">
        <v>3500</v>
      </c>
      <c r="L51" s="98"/>
      <c r="M51" s="98">
        <f>28536+22728</f>
        <v>51264</v>
      </c>
      <c r="N51" s="96">
        <v>21230</v>
      </c>
      <c r="O51" s="96"/>
      <c r="P51" s="96"/>
      <c r="Q51" s="96"/>
      <c r="R51" s="96"/>
      <c r="S51" s="164"/>
      <c r="T51" s="63">
        <f t="shared" si="9"/>
        <v>75994</v>
      </c>
      <c r="U51" s="63">
        <f t="shared" si="2"/>
        <v>0</v>
      </c>
    </row>
    <row r="52" spans="1:21" s="64" customFormat="1" ht="12" outlineLevel="1">
      <c r="A52" s="38" t="s">
        <v>77</v>
      </c>
      <c r="B52" s="79" t="s">
        <v>145</v>
      </c>
      <c r="C52" s="51">
        <f>D52/D73</f>
        <v>0.5010565560311179</v>
      </c>
      <c r="D52" s="54">
        <f t="shared" si="11"/>
        <v>12409.166666666666</v>
      </c>
      <c r="E52" s="56">
        <v>148910</v>
      </c>
      <c r="F52" s="95"/>
      <c r="G52" s="123"/>
      <c r="H52" s="98"/>
      <c r="I52" s="98"/>
      <c r="J52" s="96"/>
      <c r="K52" s="96"/>
      <c r="L52" s="98"/>
      <c r="M52" s="98">
        <f>51100</f>
        <v>51100</v>
      </c>
      <c r="N52" s="96"/>
      <c r="O52" s="96">
        <f>46710+51100</f>
        <v>97810</v>
      </c>
      <c r="P52" s="96"/>
      <c r="Q52" s="96"/>
      <c r="R52" s="96"/>
      <c r="S52" s="164"/>
      <c r="T52" s="63">
        <f t="shared" si="9"/>
        <v>148910</v>
      </c>
      <c r="U52" s="63">
        <f t="shared" si="2"/>
        <v>0</v>
      </c>
    </row>
    <row r="53" spans="1:21" s="64" customFormat="1" ht="12" outlineLevel="1">
      <c r="A53" s="38" t="s">
        <v>78</v>
      </c>
      <c r="B53" s="50" t="s">
        <v>26</v>
      </c>
      <c r="C53" s="51">
        <f>D53/D73</f>
        <v>0.016824140622896982</v>
      </c>
      <c r="D53" s="54">
        <f t="shared" si="11"/>
        <v>416.6666666666667</v>
      </c>
      <c r="E53" s="56">
        <v>5000</v>
      </c>
      <c r="F53" s="95"/>
      <c r="G53" s="123"/>
      <c r="H53" s="98"/>
      <c r="I53" s="98"/>
      <c r="J53" s="96"/>
      <c r="K53" s="96"/>
      <c r="L53" s="98"/>
      <c r="M53" s="98"/>
      <c r="N53" s="96"/>
      <c r="O53" s="96"/>
      <c r="P53" s="96"/>
      <c r="Q53" s="96"/>
      <c r="R53" s="96"/>
      <c r="S53" s="164"/>
      <c r="T53" s="63">
        <f t="shared" si="9"/>
        <v>0</v>
      </c>
      <c r="U53" s="216">
        <f t="shared" si="2"/>
        <v>5000</v>
      </c>
    </row>
    <row r="54" spans="1:21" s="64" customFormat="1" ht="12" outlineLevel="1">
      <c r="A54" s="38" t="s">
        <v>79</v>
      </c>
      <c r="B54" s="50" t="s">
        <v>110</v>
      </c>
      <c r="C54" s="51">
        <f>D54/D73</f>
        <v>0.02691862499663517</v>
      </c>
      <c r="D54" s="54">
        <f t="shared" si="11"/>
        <v>666.6666666666666</v>
      </c>
      <c r="E54" s="56">
        <v>8000</v>
      </c>
      <c r="F54" s="95"/>
      <c r="G54" s="123"/>
      <c r="H54" s="98"/>
      <c r="I54" s="98"/>
      <c r="J54" s="96"/>
      <c r="K54" s="96"/>
      <c r="L54" s="98"/>
      <c r="M54" s="98"/>
      <c r="N54" s="96"/>
      <c r="O54" s="96"/>
      <c r="P54" s="98"/>
      <c r="Q54" s="96"/>
      <c r="R54" s="96"/>
      <c r="S54" s="164"/>
      <c r="T54" s="63">
        <f t="shared" si="9"/>
        <v>0</v>
      </c>
      <c r="U54" s="216">
        <f t="shared" si="2"/>
        <v>8000</v>
      </c>
    </row>
    <row r="55" spans="1:21" s="64" customFormat="1" ht="12" outlineLevel="1">
      <c r="A55" s="38" t="s">
        <v>80</v>
      </c>
      <c r="B55" s="79" t="s">
        <v>144</v>
      </c>
      <c r="C55" s="51">
        <f>D55/D73</f>
        <v>0.16928450294758943</v>
      </c>
      <c r="D55" s="54">
        <f t="shared" si="11"/>
        <v>4192.5</v>
      </c>
      <c r="E55" s="56">
        <v>50310</v>
      </c>
      <c r="F55" s="95"/>
      <c r="G55" s="123"/>
      <c r="H55" s="98"/>
      <c r="I55" s="98"/>
      <c r="J55" s="96">
        <v>50310</v>
      </c>
      <c r="K55" s="96"/>
      <c r="L55" s="98"/>
      <c r="M55" s="98"/>
      <c r="N55" s="96"/>
      <c r="O55" s="96"/>
      <c r="P55" s="96"/>
      <c r="Q55" s="96"/>
      <c r="R55" s="96"/>
      <c r="S55" s="164"/>
      <c r="T55" s="63">
        <f t="shared" si="9"/>
        <v>50310</v>
      </c>
      <c r="U55" s="216">
        <f t="shared" si="2"/>
        <v>0</v>
      </c>
    </row>
    <row r="56" spans="1:21" s="64" customFormat="1" ht="12" outlineLevel="1">
      <c r="A56" s="38" t="s">
        <v>81</v>
      </c>
      <c r="B56" s="79" t="s">
        <v>152</v>
      </c>
      <c r="C56" s="51">
        <f>D56/D73</f>
        <v>0.5383724999327034</v>
      </c>
      <c r="D56" s="54">
        <f t="shared" si="11"/>
        <v>13333.333333333334</v>
      </c>
      <c r="E56" s="56">
        <v>160000</v>
      </c>
      <c r="F56" s="95"/>
      <c r="G56" s="123"/>
      <c r="H56" s="98"/>
      <c r="I56" s="98"/>
      <c r="J56" s="96"/>
      <c r="K56" s="96"/>
      <c r="L56" s="98"/>
      <c r="M56" s="98">
        <f>50634.5+21700.5</f>
        <v>72335</v>
      </c>
      <c r="N56" s="96"/>
      <c r="O56" s="96"/>
      <c r="P56" s="96"/>
      <c r="Q56" s="96"/>
      <c r="R56" s="96"/>
      <c r="S56" s="164"/>
      <c r="T56" s="63">
        <f t="shared" si="9"/>
        <v>72335</v>
      </c>
      <c r="U56" s="216">
        <f t="shared" si="2"/>
        <v>87665</v>
      </c>
    </row>
    <row r="57" spans="1:21" s="64" customFormat="1" ht="12" outlineLevel="1">
      <c r="A57" s="38" t="s">
        <v>82</v>
      </c>
      <c r="B57" s="50" t="s">
        <v>99</v>
      </c>
      <c r="C57" s="51">
        <f>D57/D73</f>
        <v>0.02691862499663517</v>
      </c>
      <c r="D57" s="54">
        <f t="shared" si="11"/>
        <v>666.6666666666666</v>
      </c>
      <c r="E57" s="56">
        <v>8000</v>
      </c>
      <c r="F57" s="95"/>
      <c r="G57" s="123"/>
      <c r="H57" s="98"/>
      <c r="I57" s="98">
        <v>4068</v>
      </c>
      <c r="J57" s="96"/>
      <c r="K57" s="96"/>
      <c r="L57" s="98"/>
      <c r="M57" s="98"/>
      <c r="N57" s="96"/>
      <c r="O57" s="96"/>
      <c r="P57" s="96"/>
      <c r="Q57" s="96"/>
      <c r="R57" s="96"/>
      <c r="S57" s="164"/>
      <c r="T57" s="63">
        <f t="shared" si="9"/>
        <v>4068</v>
      </c>
      <c r="U57" s="216">
        <f t="shared" si="2"/>
        <v>3932</v>
      </c>
    </row>
    <row r="58" spans="1:21" s="64" customFormat="1" ht="12" outlineLevel="1">
      <c r="A58" s="38" t="s">
        <v>83</v>
      </c>
      <c r="B58" s="79" t="s">
        <v>148</v>
      </c>
      <c r="C58" s="51">
        <f>D58/D73</f>
        <v>0.3768607499528924</v>
      </c>
      <c r="D58" s="54">
        <f t="shared" si="11"/>
        <v>9333.333333333334</v>
      </c>
      <c r="E58" s="56">
        <v>112000</v>
      </c>
      <c r="F58" s="95"/>
      <c r="G58" s="123"/>
      <c r="H58" s="98"/>
      <c r="I58" s="98"/>
      <c r="J58" s="96" t="s">
        <v>168</v>
      </c>
      <c r="K58" s="96"/>
      <c r="L58" s="98"/>
      <c r="M58" s="98"/>
      <c r="N58" s="96"/>
      <c r="O58" s="96"/>
      <c r="P58" s="96"/>
      <c r="Q58" s="96"/>
      <c r="R58" s="96"/>
      <c r="S58" s="164"/>
      <c r="T58" s="63">
        <f t="shared" si="9"/>
        <v>0</v>
      </c>
      <c r="U58" s="216">
        <f t="shared" si="2"/>
        <v>112000</v>
      </c>
    </row>
    <row r="59" spans="1:21" s="64" customFormat="1" ht="12" outlineLevel="1">
      <c r="A59" s="38" t="s">
        <v>84</v>
      </c>
      <c r="B59" s="50" t="s">
        <v>151</v>
      </c>
      <c r="C59" s="51">
        <f>D59/D73</f>
        <v>0.10767449998654068</v>
      </c>
      <c r="D59" s="54">
        <f t="shared" si="11"/>
        <v>2666.6666666666665</v>
      </c>
      <c r="E59" s="56">
        <v>32000</v>
      </c>
      <c r="F59" s="95">
        <v>11550</v>
      </c>
      <c r="G59" s="123"/>
      <c r="H59" s="98"/>
      <c r="I59" s="98"/>
      <c r="J59" s="96"/>
      <c r="K59" s="96"/>
      <c r="L59" s="98"/>
      <c r="M59" s="98">
        <v>12571</v>
      </c>
      <c r="O59" s="96"/>
      <c r="P59" s="96"/>
      <c r="Q59" s="96"/>
      <c r="R59" s="96"/>
      <c r="S59" s="164"/>
      <c r="T59" s="63">
        <f t="shared" si="9"/>
        <v>12571</v>
      </c>
      <c r="U59" s="216">
        <f t="shared" si="2"/>
        <v>19429</v>
      </c>
    </row>
    <row r="60" spans="1:21" s="64" customFormat="1" ht="12" outlineLevel="1">
      <c r="A60" s="38" t="s">
        <v>85</v>
      </c>
      <c r="B60" s="50" t="s">
        <v>111</v>
      </c>
      <c r="C60" s="51">
        <f>D60/D73</f>
        <v>0.033648281245793964</v>
      </c>
      <c r="D60" s="54">
        <f t="shared" si="11"/>
        <v>833.3333333333334</v>
      </c>
      <c r="E60" s="56">
        <v>10000</v>
      </c>
      <c r="F60" s="95"/>
      <c r="G60" s="123"/>
      <c r="H60" s="98"/>
      <c r="I60" s="98"/>
      <c r="J60" s="96"/>
      <c r="K60" s="96"/>
      <c r="L60" s="98"/>
      <c r="M60" s="98"/>
      <c r="N60" s="96"/>
      <c r="O60" s="96"/>
      <c r="P60" s="96"/>
      <c r="Q60" s="96"/>
      <c r="R60" s="96"/>
      <c r="S60" s="164"/>
      <c r="T60" s="63">
        <f t="shared" si="9"/>
        <v>0</v>
      </c>
      <c r="U60" s="216">
        <f t="shared" si="2"/>
        <v>10000</v>
      </c>
    </row>
    <row r="61" spans="1:21" s="64" customFormat="1" ht="12" outlineLevel="1">
      <c r="A61" s="38" t="s">
        <v>86</v>
      </c>
      <c r="B61" s="57" t="s">
        <v>153</v>
      </c>
      <c r="C61" s="51">
        <f>D61/D73</f>
        <v>0.45425179681821853</v>
      </c>
      <c r="D61" s="58">
        <f aca="true" t="shared" si="15" ref="D61:D66">E61/12</f>
        <v>11250</v>
      </c>
      <c r="E61" s="113">
        <v>135000</v>
      </c>
      <c r="F61" s="95"/>
      <c r="G61" s="123"/>
      <c r="H61" s="98"/>
      <c r="I61" s="98"/>
      <c r="J61" s="96"/>
      <c r="K61" s="96"/>
      <c r="L61" s="98"/>
      <c r="M61" s="98"/>
      <c r="N61" s="96"/>
      <c r="O61" s="96"/>
      <c r="P61" s="96"/>
      <c r="Q61" s="96"/>
      <c r="R61" s="96"/>
      <c r="S61" s="164"/>
      <c r="T61" s="63">
        <f t="shared" si="9"/>
        <v>0</v>
      </c>
      <c r="U61" s="216">
        <f t="shared" si="2"/>
        <v>135000</v>
      </c>
    </row>
    <row r="62" spans="1:21" s="64" customFormat="1" ht="12" outlineLevel="1">
      <c r="A62" s="38" t="s">
        <v>87</v>
      </c>
      <c r="B62" s="57" t="s">
        <v>117</v>
      </c>
      <c r="C62" s="51">
        <f>D62/D73</f>
        <v>0.16824140622896983</v>
      </c>
      <c r="D62" s="58">
        <f t="shared" si="15"/>
        <v>4166.666666666667</v>
      </c>
      <c r="E62" s="113">
        <v>50000</v>
      </c>
      <c r="F62" s="101"/>
      <c r="G62" s="143"/>
      <c r="H62" s="98">
        <v>3600</v>
      </c>
      <c r="I62" s="135"/>
      <c r="J62" s="102"/>
      <c r="K62" s="102">
        <f>30057+11500+2400</f>
        <v>43957</v>
      </c>
      <c r="L62" s="135"/>
      <c r="M62" s="135"/>
      <c r="N62" s="102"/>
      <c r="O62" s="102"/>
      <c r="P62" s="102"/>
      <c r="Q62" s="102"/>
      <c r="R62" s="102"/>
      <c r="S62" s="165"/>
      <c r="T62" s="63">
        <f t="shared" si="9"/>
        <v>47557</v>
      </c>
      <c r="U62" s="216">
        <f t="shared" si="2"/>
        <v>2443</v>
      </c>
    </row>
    <row r="63" spans="1:21" s="64" customFormat="1" ht="12" outlineLevel="1">
      <c r="A63" s="38" t="s">
        <v>116</v>
      </c>
      <c r="B63" s="106" t="s">
        <v>27</v>
      </c>
      <c r="C63" s="153">
        <f>D63/D73</f>
        <v>0.023553796872055777</v>
      </c>
      <c r="D63" s="154">
        <f t="shared" si="15"/>
        <v>583.3333333333334</v>
      </c>
      <c r="E63" s="155">
        <v>7000</v>
      </c>
      <c r="F63" s="95"/>
      <c r="G63" s="123"/>
      <c r="I63" s="98"/>
      <c r="J63" s="96"/>
      <c r="K63" s="96">
        <v>4598</v>
      </c>
      <c r="L63" s="98"/>
      <c r="M63" s="98"/>
      <c r="N63" s="96"/>
      <c r="O63" s="96"/>
      <c r="P63" s="96"/>
      <c r="Q63" s="96"/>
      <c r="R63" s="96"/>
      <c r="S63" s="164"/>
      <c r="T63" s="63">
        <f t="shared" si="9"/>
        <v>4598</v>
      </c>
      <c r="U63" s="216">
        <f t="shared" si="2"/>
        <v>2402</v>
      </c>
    </row>
    <row r="64" spans="1:21" s="64" customFormat="1" ht="12" outlineLevel="1">
      <c r="A64" s="38" t="s">
        <v>141</v>
      </c>
      <c r="B64" s="156" t="s">
        <v>147</v>
      </c>
      <c r="C64" s="157">
        <f>D64/D73</f>
        <v>0.3634014374545748</v>
      </c>
      <c r="D64" s="158">
        <f t="shared" si="15"/>
        <v>9000</v>
      </c>
      <c r="E64" s="215">
        <v>108000</v>
      </c>
      <c r="F64" s="95"/>
      <c r="G64" s="123"/>
      <c r="H64" s="98"/>
      <c r="I64" s="98"/>
      <c r="J64" s="96"/>
      <c r="K64" s="96"/>
      <c r="L64" s="98"/>
      <c r="M64" s="98"/>
      <c r="N64" s="96"/>
      <c r="O64" s="96"/>
      <c r="P64" s="96"/>
      <c r="Q64" s="96"/>
      <c r="R64" s="96"/>
      <c r="S64" s="164"/>
      <c r="T64" s="63">
        <f t="shared" si="9"/>
        <v>0</v>
      </c>
      <c r="U64" s="216">
        <f t="shared" si="2"/>
        <v>108000</v>
      </c>
    </row>
    <row r="65" spans="1:21" s="64" customFormat="1" ht="12" outlineLevel="1">
      <c r="A65" s="38" t="s">
        <v>142</v>
      </c>
      <c r="B65" s="156"/>
      <c r="C65" s="157">
        <f>D65/D73</f>
        <v>0.11544052329806993</v>
      </c>
      <c r="D65" s="158">
        <f t="shared" si="15"/>
        <v>2859</v>
      </c>
      <c r="E65" s="215">
        <v>34308</v>
      </c>
      <c r="F65" s="95"/>
      <c r="G65" s="123"/>
      <c r="H65" s="98"/>
      <c r="I65" s="98"/>
      <c r="J65" s="96"/>
      <c r="K65" s="96"/>
      <c r="L65" s="98">
        <v>1235.86</v>
      </c>
      <c r="M65" s="98"/>
      <c r="N65" s="96">
        <f>13694+15678+3700</f>
        <v>33072</v>
      </c>
      <c r="O65" s="96"/>
      <c r="P65" s="96"/>
      <c r="Q65" s="96"/>
      <c r="R65" s="96"/>
      <c r="S65" s="164"/>
      <c r="T65" s="63">
        <f t="shared" si="9"/>
        <v>34307.86</v>
      </c>
      <c r="U65" s="216">
        <f t="shared" si="2"/>
        <v>0.13999999999941792</v>
      </c>
    </row>
    <row r="66" spans="1:21" s="64" customFormat="1" ht="12.75" outlineLevel="1" thickBot="1">
      <c r="A66" s="38" t="s">
        <v>143</v>
      </c>
      <c r="B66" s="79"/>
      <c r="C66" s="146">
        <f>D66/D73</f>
        <v>0</v>
      </c>
      <c r="D66" s="147">
        <f t="shared" si="15"/>
        <v>0</v>
      </c>
      <c r="E66" s="148">
        <v>0</v>
      </c>
      <c r="F66" s="149"/>
      <c r="G66" s="150"/>
      <c r="H66" s="151"/>
      <c r="I66" s="151"/>
      <c r="J66" s="152"/>
      <c r="K66" s="152"/>
      <c r="L66" s="151"/>
      <c r="M66" s="151"/>
      <c r="N66" s="152"/>
      <c r="O66" s="152"/>
      <c r="P66" s="152"/>
      <c r="Q66" s="152"/>
      <c r="R66" s="152"/>
      <c r="S66" s="166"/>
      <c r="T66" s="184">
        <f t="shared" si="9"/>
        <v>0</v>
      </c>
      <c r="U66" s="63">
        <f aca="true" t="shared" si="16" ref="U66:U71">E66-T66</f>
        <v>0</v>
      </c>
    </row>
    <row r="67" spans="1:21" ht="13.5" thickBot="1">
      <c r="A67" s="32">
        <v>12</v>
      </c>
      <c r="B67" s="5" t="s">
        <v>146</v>
      </c>
      <c r="C67" s="47">
        <f>D67/D73</f>
        <v>0</v>
      </c>
      <c r="D67" s="16">
        <f t="shared" si="11"/>
        <v>0</v>
      </c>
      <c r="E67" s="75">
        <v>0</v>
      </c>
      <c r="F67" s="23"/>
      <c r="G67" s="136"/>
      <c r="H67" s="126"/>
      <c r="I67" s="126"/>
      <c r="J67" s="24"/>
      <c r="K67" s="24"/>
      <c r="L67" s="126"/>
      <c r="M67" s="126"/>
      <c r="N67" s="24"/>
      <c r="O67" s="24"/>
      <c r="P67" s="24"/>
      <c r="Q67" s="24"/>
      <c r="R67" s="24"/>
      <c r="S67" s="160"/>
      <c r="T67" s="25">
        <f t="shared" si="9"/>
        <v>0</v>
      </c>
      <c r="U67" s="25">
        <f t="shared" si="16"/>
        <v>0</v>
      </c>
    </row>
    <row r="68" spans="1:21" ht="13.5" thickBot="1">
      <c r="A68" s="32">
        <v>13</v>
      </c>
      <c r="B68" s="6" t="s">
        <v>29</v>
      </c>
      <c r="C68" s="43">
        <f>D68/D73</f>
        <v>0.1009448437373819</v>
      </c>
      <c r="D68" s="16">
        <f t="shared" si="11"/>
        <v>2500</v>
      </c>
      <c r="E68" s="75">
        <v>30000</v>
      </c>
      <c r="F68" s="145"/>
      <c r="G68" s="136">
        <v>1620</v>
      </c>
      <c r="H68" s="126"/>
      <c r="I68" s="126"/>
      <c r="J68" s="126"/>
      <c r="K68" s="24">
        <v>1650</v>
      </c>
      <c r="L68" s="126"/>
      <c r="M68" s="126"/>
      <c r="N68" s="24"/>
      <c r="O68" s="24"/>
      <c r="P68" s="24"/>
      <c r="Q68" s="24"/>
      <c r="R68" s="24"/>
      <c r="S68" s="160"/>
      <c r="T68" s="185">
        <f t="shared" si="9"/>
        <v>3270</v>
      </c>
      <c r="U68" s="29">
        <f t="shared" si="16"/>
        <v>26730</v>
      </c>
    </row>
    <row r="69" spans="1:21" ht="13.5" thickBot="1">
      <c r="A69" s="69">
        <v>14</v>
      </c>
      <c r="B69" s="70" t="s">
        <v>103</v>
      </c>
      <c r="C69" s="114">
        <f>D69/D73</f>
        <v>1.024792053621901</v>
      </c>
      <c r="D69" s="68">
        <f t="shared" si="11"/>
        <v>25380</v>
      </c>
      <c r="E69" s="71">
        <v>304560</v>
      </c>
      <c r="F69" s="52"/>
      <c r="G69" s="124">
        <v>76140</v>
      </c>
      <c r="H69" s="53"/>
      <c r="I69" s="53"/>
      <c r="J69" s="53">
        <v>76140</v>
      </c>
      <c r="K69" s="53"/>
      <c r="L69" s="53"/>
      <c r="M69" s="53"/>
      <c r="N69" s="53">
        <v>76140</v>
      </c>
      <c r="O69" s="53"/>
      <c r="P69" s="53"/>
      <c r="Q69" s="53"/>
      <c r="R69" s="53"/>
      <c r="S69" s="168"/>
      <c r="T69" s="183">
        <f>SUM(G69:S69)</f>
        <v>228420</v>
      </c>
      <c r="U69" s="108">
        <f t="shared" si="16"/>
        <v>76140</v>
      </c>
    </row>
    <row r="70" spans="1:21" ht="13.5" thickBot="1">
      <c r="A70" s="69">
        <v>15</v>
      </c>
      <c r="B70" s="70" t="s">
        <v>154</v>
      </c>
      <c r="C70" s="67">
        <f>D70/D73</f>
        <v>0.13213007079598374</v>
      </c>
      <c r="D70" s="68">
        <f t="shared" si="11"/>
        <v>3272.3333333333335</v>
      </c>
      <c r="E70" s="71">
        <v>39268</v>
      </c>
      <c r="F70" s="52"/>
      <c r="G70" s="12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68"/>
      <c r="T70" s="182">
        <f t="shared" si="9"/>
        <v>0</v>
      </c>
      <c r="U70" s="108">
        <f t="shared" si="16"/>
        <v>39268</v>
      </c>
    </row>
    <row r="71" spans="1:21" ht="13.5" thickBot="1">
      <c r="A71" s="210" t="s">
        <v>30</v>
      </c>
      <c r="B71" s="211"/>
      <c r="C71" s="72">
        <f>D71/D73</f>
        <v>11.000954938221755</v>
      </c>
      <c r="D71" s="73">
        <f t="shared" si="11"/>
        <v>272449.64999999997</v>
      </c>
      <c r="E71" s="74">
        <f aca="true" t="shared" si="17" ref="E71:S71">E5+E6+E7+E8+E11+E16+E17+E24+E30+E42+E50+E67+E68-E69-E70</f>
        <v>3269395.8</v>
      </c>
      <c r="F71" s="202">
        <f>F5+F6+F7+F8+F11+F16+F17+F24+F30+F42+F50+F67+F68-F69-F70</f>
        <v>128663.59</v>
      </c>
      <c r="G71" s="30">
        <f>G5+G6+G7+G8+G11+G16+G17+G24+G30+G42+G50+G67+G68-G69-G70</f>
        <v>93229.85</v>
      </c>
      <c r="H71" s="189">
        <f>H5+G6+H7+H8+H11+H16+H17+H24+H30+H42+H50+H67+H68-H69-H70</f>
        <v>195542.72999999998</v>
      </c>
      <c r="I71" s="30">
        <f>I5+H6+I7+I8+I11+I16+I17+I24+I30+I42+I50+I67+I68-I69-I70</f>
        <v>256142.94999999998</v>
      </c>
      <c r="J71" s="30">
        <f>J5+I6+J7+J8+J11+J16+J17+J24+J30+J42+J50+J67+J68-J69-J70</f>
        <v>175500.69999999998</v>
      </c>
      <c r="K71" s="30">
        <f>K5+J6+K7+K8+K11+K16+K17+K24+K30+K42+K50+K67+K68-K69-K70</f>
        <v>259419.12</v>
      </c>
      <c r="L71" s="30">
        <f t="shared" si="17"/>
        <v>202747.41</v>
      </c>
      <c r="M71" s="30">
        <f t="shared" si="17"/>
        <v>361628.56999999995</v>
      </c>
      <c r="N71" s="30">
        <f t="shared" si="17"/>
        <v>230331.41000000003</v>
      </c>
      <c r="O71" s="30">
        <f t="shared" si="17"/>
        <v>237848.09</v>
      </c>
      <c r="P71" s="30">
        <f t="shared" si="17"/>
        <v>0</v>
      </c>
      <c r="Q71" s="30">
        <f t="shared" si="17"/>
        <v>0</v>
      </c>
      <c r="R71" s="30">
        <f t="shared" si="17"/>
        <v>0</v>
      </c>
      <c r="S71" s="181">
        <f t="shared" si="17"/>
        <v>0</v>
      </c>
      <c r="T71" s="31">
        <f>SUM(F71:S71)</f>
        <v>2141054.42</v>
      </c>
      <c r="U71" s="31">
        <f t="shared" si="16"/>
        <v>1128341.38</v>
      </c>
    </row>
    <row r="72" s="11" customFormat="1" ht="9.75"/>
    <row r="73" spans="1:20" ht="12.75">
      <c r="A73" s="206" t="s">
        <v>31</v>
      </c>
      <c r="B73" s="206"/>
      <c r="C73" s="41"/>
      <c r="D73" s="1">
        <v>24766</v>
      </c>
      <c r="E73" s="2" t="s">
        <v>32</v>
      </c>
      <c r="F73" s="203"/>
      <c r="T73" s="203"/>
    </row>
    <row r="74" s="11" customFormat="1" ht="9.75"/>
    <row r="75" spans="1:3" ht="12.75">
      <c r="A75" s="207" t="s">
        <v>149</v>
      </c>
      <c r="B75" s="207"/>
      <c r="C75" s="40"/>
    </row>
    <row r="76" spans="1:5" ht="12.75">
      <c r="A76" s="207" t="s">
        <v>33</v>
      </c>
      <c r="B76" s="207"/>
      <c r="C76" s="40"/>
      <c r="D76" s="42">
        <f>D71/D73</f>
        <v>11.000954938221755</v>
      </c>
      <c r="E76" s="2" t="s">
        <v>34</v>
      </c>
    </row>
  </sheetData>
  <sheetProtection/>
  <mergeCells count="10">
    <mergeCell ref="U3:U4"/>
    <mergeCell ref="A73:B73"/>
    <mergeCell ref="A75:B75"/>
    <mergeCell ref="A76:B76"/>
    <mergeCell ref="A1:E1"/>
    <mergeCell ref="A2:E2"/>
    <mergeCell ref="A3:E3"/>
    <mergeCell ref="A71:B71"/>
    <mergeCell ref="F3:R3"/>
    <mergeCell ref="T3:T4"/>
  </mergeCells>
  <printOptions/>
  <pageMargins left="0.5905511811023623" right="0.1968503937007874" top="0.1968503937007874" bottom="0.1968503937007874" header="0.5118110236220472" footer="0.5118110236220472"/>
  <pageSetup fitToHeight="1" fitToWidth="1" horizontalDpi="300" verticalDpi="300" orientation="portrait" paperSize="9" scale="89" r:id="rId3"/>
  <ignoredErrors>
    <ignoredError sqref="T21:T23 G50:H50 E50 H13 T48" formulaRange="1"/>
    <ignoredError sqref="A14:A15 A21:A23 A63:A66" twoDigitTextYear="1"/>
    <ignoredError sqref="D7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11.125" style="0" customWidth="1"/>
    <col min="3" max="5" width="13.875" style="0" customWidth="1"/>
    <col min="6" max="6" width="15.125" style="0" customWidth="1"/>
    <col min="7" max="7" width="10.75390625" style="0" customWidth="1"/>
  </cols>
  <sheetData>
    <row r="1" spans="1:7" ht="31.5" customHeight="1">
      <c r="A1" s="214" t="s">
        <v>120</v>
      </c>
      <c r="B1" s="214"/>
      <c r="C1" s="214"/>
      <c r="D1" s="214"/>
      <c r="E1" s="214"/>
      <c r="F1" s="214"/>
      <c r="G1" s="214"/>
    </row>
    <row r="3" spans="1:7" ht="15" customHeight="1">
      <c r="A3" s="115" t="s">
        <v>127</v>
      </c>
      <c r="B3" s="116"/>
      <c r="C3" s="117">
        <v>40909</v>
      </c>
      <c r="D3" s="117" t="s">
        <v>132</v>
      </c>
      <c r="E3" s="117" t="s">
        <v>133</v>
      </c>
      <c r="F3" s="117">
        <v>41060</v>
      </c>
      <c r="G3" s="116" t="s">
        <v>131</v>
      </c>
    </row>
    <row r="4" spans="1:7" ht="15" customHeight="1">
      <c r="A4" s="116" t="s">
        <v>121</v>
      </c>
      <c r="B4" s="116">
        <v>137</v>
      </c>
      <c r="C4" s="116">
        <v>1123214.58</v>
      </c>
      <c r="D4" s="116">
        <v>7634028.03</v>
      </c>
      <c r="E4" s="116">
        <v>8505543.38</v>
      </c>
      <c r="F4" s="116">
        <f>C4+D4-E4</f>
        <v>251699.22999999858</v>
      </c>
      <c r="G4" s="116"/>
    </row>
    <row r="5" spans="1:7" ht="15" customHeight="1">
      <c r="A5" s="116"/>
      <c r="B5" s="116">
        <v>167</v>
      </c>
      <c r="C5" s="116">
        <v>186263.51</v>
      </c>
      <c r="D5" s="116">
        <v>3765582.44</v>
      </c>
      <c r="E5" s="116">
        <v>3019930</v>
      </c>
      <c r="F5" s="116">
        <f>C5+D5-E5</f>
        <v>931915.9500000002</v>
      </c>
      <c r="G5" s="116"/>
    </row>
    <row r="6" spans="1:7" ht="15" customHeight="1">
      <c r="A6" s="116" t="s">
        <v>128</v>
      </c>
      <c r="B6" s="116"/>
      <c r="C6" s="115">
        <f>SUM(C4:C5)</f>
        <v>1309478.09</v>
      </c>
      <c r="D6" s="115">
        <f>SUM(D4:D5)</f>
        <v>11399610.47</v>
      </c>
      <c r="E6" s="115">
        <f>SUM(E4:E5)</f>
        <v>11525473.38</v>
      </c>
      <c r="F6" s="115">
        <f>SUM(F4:F5)</f>
        <v>1183615.1799999988</v>
      </c>
      <c r="G6" s="116"/>
    </row>
    <row r="7" spans="1:7" ht="15" customHeight="1">
      <c r="A7" s="116" t="s">
        <v>122</v>
      </c>
      <c r="B7" s="116">
        <v>137</v>
      </c>
      <c r="C7" s="116">
        <f>28997.24-24121.32</f>
        <v>4875.920000000002</v>
      </c>
      <c r="D7" s="116">
        <f>8106143.5-28149.34</f>
        <v>8077994.16</v>
      </c>
      <c r="E7" s="116">
        <f>8106991.4-24121.32</f>
        <v>8082870.08</v>
      </c>
      <c r="F7" s="116">
        <v>0</v>
      </c>
      <c r="G7" s="116"/>
    </row>
    <row r="8" spans="1:7" ht="15" customHeight="1">
      <c r="A8" s="116"/>
      <c r="B8" s="116">
        <v>167</v>
      </c>
      <c r="C8" s="116">
        <v>24121.32</v>
      </c>
      <c r="D8" s="116">
        <f>F8</f>
        <v>28149.34</v>
      </c>
      <c r="E8" s="116">
        <f>C8</f>
        <v>24121.32</v>
      </c>
      <c r="F8" s="116">
        <v>28149.34</v>
      </c>
      <c r="G8" s="116"/>
    </row>
    <row r="9" spans="1:7" ht="15" customHeight="1">
      <c r="A9" s="116" t="s">
        <v>129</v>
      </c>
      <c r="B9" s="116"/>
      <c r="C9" s="115">
        <f>SUM(C7:C8)</f>
        <v>28997.24</v>
      </c>
      <c r="D9" s="115">
        <f>SUM(D7:D8)</f>
        <v>8106143.5</v>
      </c>
      <c r="E9" s="115">
        <f>SUM(E7:E8)</f>
        <v>8106991.4</v>
      </c>
      <c r="F9" s="115">
        <f>SUM(F7:F8)</f>
        <v>28149.34</v>
      </c>
      <c r="G9" s="116"/>
    </row>
    <row r="10" spans="1:7" ht="15" customHeight="1">
      <c r="A10" s="116" t="s">
        <v>123</v>
      </c>
      <c r="B10" s="116"/>
      <c r="C10" s="115"/>
      <c r="D10" s="115">
        <v>1046808.4</v>
      </c>
      <c r="E10" s="115">
        <v>1031176.19</v>
      </c>
      <c r="F10" s="116">
        <f>C10+D10-E10</f>
        <v>15632.21000000008</v>
      </c>
      <c r="G10" s="116"/>
    </row>
    <row r="11" spans="1:7" ht="15" customHeight="1">
      <c r="A11" s="116"/>
      <c r="B11" s="116"/>
      <c r="C11" s="116"/>
      <c r="D11" s="116"/>
      <c r="E11" s="116"/>
      <c r="F11" s="116"/>
      <c r="G11" s="116"/>
    </row>
    <row r="12" spans="1:7" ht="15" customHeight="1">
      <c r="A12" s="115" t="s">
        <v>124</v>
      </c>
      <c r="B12" s="116"/>
      <c r="C12" s="201">
        <v>40906</v>
      </c>
      <c r="D12" s="116" t="s">
        <v>134</v>
      </c>
      <c r="E12" s="116" t="s">
        <v>135</v>
      </c>
      <c r="F12" s="116"/>
      <c r="G12" s="116"/>
    </row>
    <row r="13" spans="1:7" ht="15" customHeight="1">
      <c r="A13" s="116" t="s">
        <v>125</v>
      </c>
      <c r="B13" s="116">
        <v>137</v>
      </c>
      <c r="C13" s="116">
        <v>-383654.05</v>
      </c>
      <c r="D13">
        <v>7103474.91</v>
      </c>
      <c r="E13" s="116">
        <v>7317760.52</v>
      </c>
      <c r="F13" s="116">
        <f>C13-E13+D13</f>
        <v>-597939.6599999992</v>
      </c>
      <c r="G13" s="116"/>
    </row>
    <row r="14" spans="1:7" ht="15" customHeight="1">
      <c r="A14" s="116"/>
      <c r="B14" s="116">
        <v>167</v>
      </c>
      <c r="C14" s="116"/>
      <c r="D14" s="116"/>
      <c r="E14" s="116"/>
      <c r="F14" s="116">
        <f>C14+E14-D14</f>
        <v>0</v>
      </c>
      <c r="G14" s="116"/>
    </row>
    <row r="15" spans="1:7" ht="15" customHeight="1">
      <c r="A15" s="116" t="s">
        <v>136</v>
      </c>
      <c r="B15" s="116"/>
      <c r="C15" s="115">
        <f>SUM(C13:C14)</f>
        <v>-383654.05</v>
      </c>
      <c r="D15" s="115">
        <f>SUM(D13:D14)</f>
        <v>7103474.91</v>
      </c>
      <c r="E15" s="115">
        <f>SUM(E13:E14)</f>
        <v>7317760.52</v>
      </c>
      <c r="F15" s="115">
        <f>SUM(F13:F14)</f>
        <v>-597939.6599999992</v>
      </c>
      <c r="G15" s="116"/>
    </row>
    <row r="16" spans="1:7" ht="15" customHeight="1">
      <c r="A16" s="116"/>
      <c r="B16" s="116"/>
      <c r="C16" s="115"/>
      <c r="D16" s="115" t="s">
        <v>135</v>
      </c>
      <c r="E16" s="115" t="s">
        <v>137</v>
      </c>
      <c r="F16" s="115"/>
      <c r="G16" s="116"/>
    </row>
    <row r="17" spans="1:7" ht="15" customHeight="1">
      <c r="A17" s="116" t="s">
        <v>126</v>
      </c>
      <c r="B17" s="116"/>
      <c r="C17" s="116">
        <f>-1848.21-2500-1200</f>
        <v>-5548.21</v>
      </c>
      <c r="D17">
        <f>5047445.47+353676.61-944914.93-158495.7-2491075.6-1249473.85-135464</f>
        <v>421698</v>
      </c>
      <c r="E17" s="116">
        <f>5535987.41+353676.61-943382.72-147689-2957923.92-1286505.27-132500</f>
        <v>421663.1100000008</v>
      </c>
      <c r="F17" s="116">
        <f>C17-D17+E17</f>
        <v>-5583.09999999922</v>
      </c>
      <c r="G17" s="116"/>
    </row>
    <row r="18" spans="1:7" ht="15" customHeight="1">
      <c r="A18" s="116" t="s">
        <v>130</v>
      </c>
      <c r="B18" s="116"/>
      <c r="C18" s="115">
        <f>C15+C17</f>
        <v>-389202.26</v>
      </c>
      <c r="D18" s="115"/>
      <c r="E18" s="115"/>
      <c r="F18" s="115">
        <f>F15+F17</f>
        <v>-603522.7599999984</v>
      </c>
      <c r="G18" s="116"/>
    </row>
    <row r="19" spans="1:7" ht="15" customHeight="1">
      <c r="A19" s="116"/>
      <c r="B19" s="116"/>
      <c r="C19" s="115"/>
      <c r="D19" s="115"/>
      <c r="E19" s="115"/>
      <c r="F19" s="115"/>
      <c r="G19" s="11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4" sqref="L4"/>
    </sheetView>
  </sheetViews>
  <sheetFormatPr defaultColWidth="9.00390625" defaultRowHeight="12.75"/>
  <cols>
    <col min="2" max="2" width="11.125" style="0" customWidth="1"/>
    <col min="3" max="5" width="13.875" style="0" customWidth="1"/>
    <col min="6" max="6" width="15.125" style="0" customWidth="1"/>
    <col min="7" max="7" width="10.75390625" style="0" customWidth="1"/>
  </cols>
  <sheetData>
    <row r="1" spans="1:7" ht="31.5" customHeight="1">
      <c r="A1" s="214" t="s">
        <v>120</v>
      </c>
      <c r="B1" s="214"/>
      <c r="C1" s="214"/>
      <c r="D1" s="214"/>
      <c r="E1" s="214"/>
      <c r="F1" s="214"/>
      <c r="G1" s="214"/>
    </row>
    <row r="3" spans="1:12" ht="15" customHeight="1">
      <c r="A3" s="115" t="s">
        <v>127</v>
      </c>
      <c r="B3" s="116"/>
      <c r="C3" s="117">
        <v>40909</v>
      </c>
      <c r="D3" s="117" t="s">
        <v>132</v>
      </c>
      <c r="E3" s="117" t="s">
        <v>133</v>
      </c>
      <c r="F3" s="117">
        <v>41060</v>
      </c>
      <c r="G3" s="116" t="s">
        <v>131</v>
      </c>
      <c r="K3">
        <v>8505543.38</v>
      </c>
      <c r="L3">
        <v>514020</v>
      </c>
    </row>
    <row r="4" spans="1:12" ht="15" customHeight="1">
      <c r="A4" s="116" t="s">
        <v>121</v>
      </c>
      <c r="B4" s="116">
        <v>137</v>
      </c>
      <c r="C4" s="116">
        <v>1123214.58</v>
      </c>
      <c r="D4" s="116">
        <v>7634028.03</v>
      </c>
      <c r="E4" s="116">
        <v>8505543.38</v>
      </c>
      <c r="F4" s="116">
        <f>C4+D4-E4</f>
        <v>251699.22999999858</v>
      </c>
      <c r="G4" s="116"/>
      <c r="K4">
        <v>15000</v>
      </c>
      <c r="L4">
        <v>5187811.91</v>
      </c>
    </row>
    <row r="5" spans="1:12" ht="15" customHeight="1">
      <c r="A5" s="116"/>
      <c r="B5" s="116">
        <v>167</v>
      </c>
      <c r="C5" s="116">
        <v>186263.51</v>
      </c>
      <c r="D5" s="116">
        <v>3765582.44</v>
      </c>
      <c r="E5" s="116">
        <f>3019930+500+530</f>
        <v>3020960</v>
      </c>
      <c r="F5" s="116">
        <f>C5+D5-E5</f>
        <v>930885.9500000002</v>
      </c>
      <c r="G5" s="116"/>
      <c r="K5">
        <v>371138</v>
      </c>
      <c r="L5">
        <v>2450</v>
      </c>
    </row>
    <row r="6" spans="1:12" ht="15" customHeight="1">
      <c r="A6" s="116" t="s">
        <v>128</v>
      </c>
      <c r="B6" s="116"/>
      <c r="C6" s="115">
        <f>SUM(C4:C5)</f>
        <v>1309478.09</v>
      </c>
      <c r="D6" s="115">
        <f>SUM(D4:D5)</f>
        <v>11399610.47</v>
      </c>
      <c r="E6" s="115">
        <f>SUM(E4:E5)</f>
        <v>11526503.38</v>
      </c>
      <c r="F6" s="115">
        <f>SUM(F4:F5)</f>
        <v>1182585.1799999988</v>
      </c>
      <c r="G6" s="116"/>
      <c r="K6">
        <v>46788.4</v>
      </c>
      <c r="L6">
        <v>18900</v>
      </c>
    </row>
    <row r="7" spans="1:12" ht="15" customHeight="1">
      <c r="A7" s="116" t="s">
        <v>122</v>
      </c>
      <c r="B7" s="116">
        <v>137</v>
      </c>
      <c r="C7" s="116">
        <f>28997.24-24121.32</f>
        <v>4875.920000000002</v>
      </c>
      <c r="D7" s="116">
        <f>8106143.5-28149.34</f>
        <v>8077994.16</v>
      </c>
      <c r="E7" s="116">
        <f>8106991.4-24121.32</f>
        <v>8082870.08</v>
      </c>
      <c r="F7" s="116">
        <v>0</v>
      </c>
      <c r="G7" s="116"/>
      <c r="K7">
        <v>22900</v>
      </c>
      <c r="L7">
        <v>34976</v>
      </c>
    </row>
    <row r="8" spans="1:12" ht="15" customHeight="1">
      <c r="A8" s="116"/>
      <c r="B8" s="116">
        <v>167</v>
      </c>
      <c r="C8" s="116">
        <v>24121.32</v>
      </c>
      <c r="D8" s="116">
        <f>F8</f>
        <v>28149.34</v>
      </c>
      <c r="E8" s="116">
        <f>C8</f>
        <v>24121.32</v>
      </c>
      <c r="F8" s="116">
        <v>28149.34</v>
      </c>
      <c r="G8" s="116"/>
      <c r="K8">
        <v>20960</v>
      </c>
      <c r="L8">
        <v>1108499</v>
      </c>
    </row>
    <row r="9" spans="1:12" ht="15" customHeight="1">
      <c r="A9" s="116" t="s">
        <v>129</v>
      </c>
      <c r="B9" s="116"/>
      <c r="C9" s="115">
        <f>SUM(C7:C8)</f>
        <v>28997.24</v>
      </c>
      <c r="D9" s="115">
        <f>SUM(D7:D8)</f>
        <v>8106143.5</v>
      </c>
      <c r="E9" s="115">
        <f>SUM(E7:E8)</f>
        <v>8106991.4</v>
      </c>
      <c r="F9" s="115">
        <f>SUM(F7:F8)</f>
        <v>28149.34</v>
      </c>
      <c r="G9" s="116"/>
      <c r="K9">
        <f>SUM(K3:K8)</f>
        <v>8982329.780000001</v>
      </c>
      <c r="L9">
        <f>SUM(L3:L8)</f>
        <v>6866656.91</v>
      </c>
    </row>
    <row r="10" spans="1:7" ht="15" customHeight="1">
      <c r="A10" s="116" t="s">
        <v>123</v>
      </c>
      <c r="B10" s="116"/>
      <c r="C10" s="115"/>
      <c r="D10" s="115">
        <v>1046808.4</v>
      </c>
      <c r="E10" s="115">
        <v>1031176.19</v>
      </c>
      <c r="F10" s="116">
        <f>C10+D10-E10</f>
        <v>15632.21000000008</v>
      </c>
      <c r="G10" s="116"/>
    </row>
    <row r="11" spans="1:7" ht="15" customHeight="1">
      <c r="A11" s="116"/>
      <c r="B11" s="116"/>
      <c r="C11" s="116"/>
      <c r="D11" s="116"/>
      <c r="E11" s="116"/>
      <c r="F11" s="116"/>
      <c r="G11" s="116"/>
    </row>
    <row r="12" spans="1:7" ht="15" customHeight="1">
      <c r="A12" s="115" t="s">
        <v>124</v>
      </c>
      <c r="B12" s="116"/>
      <c r="C12" s="201">
        <v>40906</v>
      </c>
      <c r="D12" s="116" t="s">
        <v>134</v>
      </c>
      <c r="E12" s="116" t="s">
        <v>135</v>
      </c>
      <c r="F12" s="116"/>
      <c r="G12" s="116"/>
    </row>
    <row r="13" spans="1:7" ht="15" customHeight="1">
      <c r="A13" s="116" t="s">
        <v>125</v>
      </c>
      <c r="B13" s="116">
        <v>137</v>
      </c>
      <c r="C13" s="116">
        <v>-383654.05</v>
      </c>
      <c r="D13">
        <v>7103474.91</v>
      </c>
      <c r="E13" s="116">
        <v>7317760.52</v>
      </c>
      <c r="F13" s="116">
        <f>C13-E13+D13</f>
        <v>-597939.6599999992</v>
      </c>
      <c r="G13" s="116"/>
    </row>
    <row r="14" spans="1:7" ht="15" customHeight="1">
      <c r="A14" s="116"/>
      <c r="B14" s="116">
        <v>167</v>
      </c>
      <c r="C14" s="116"/>
      <c r="D14" s="116"/>
      <c r="E14" s="116"/>
      <c r="F14" s="116">
        <f>C14+E14-D14</f>
        <v>0</v>
      </c>
      <c r="G14" s="116"/>
    </row>
    <row r="15" spans="1:7" ht="15" customHeight="1">
      <c r="A15" s="116" t="s">
        <v>136</v>
      </c>
      <c r="B15" s="116"/>
      <c r="C15" s="115">
        <f>SUM(C13:C14)</f>
        <v>-383654.05</v>
      </c>
      <c r="D15" s="115">
        <f>SUM(D13:D14)</f>
        <v>7103474.91</v>
      </c>
      <c r="E15" s="115">
        <f>SUM(E13:E14)</f>
        <v>7317760.52</v>
      </c>
      <c r="F15" s="115">
        <f>SUM(F13:F14)</f>
        <v>-597939.6599999992</v>
      </c>
      <c r="G15" s="116"/>
    </row>
    <row r="16" spans="1:7" ht="15" customHeight="1">
      <c r="A16" s="116"/>
      <c r="B16" s="116"/>
      <c r="C16" s="115"/>
      <c r="D16" s="115" t="s">
        <v>135</v>
      </c>
      <c r="E16" s="115" t="s">
        <v>137</v>
      </c>
      <c r="F16" s="115"/>
      <c r="G16" s="116"/>
    </row>
    <row r="17" spans="1:7" ht="15" customHeight="1">
      <c r="A17" s="116" t="s">
        <v>126</v>
      </c>
      <c r="B17" s="116"/>
      <c r="C17" s="116">
        <v>-1086914.62</v>
      </c>
      <c r="D17">
        <f>5047445.47+353676.61</f>
        <v>5401122.08</v>
      </c>
      <c r="E17" s="116">
        <f>5535987.41+353676.61-1533.83</f>
        <v>5888130.19</v>
      </c>
      <c r="F17" s="116">
        <f>C17-D17+E17</f>
        <v>-599906.5099999998</v>
      </c>
      <c r="G17" s="116"/>
    </row>
    <row r="18" spans="1:7" ht="15" customHeight="1">
      <c r="A18" s="116" t="s">
        <v>130</v>
      </c>
      <c r="B18" s="116"/>
      <c r="C18" s="115">
        <f>C15+C17</f>
        <v>-1470568.6700000002</v>
      </c>
      <c r="D18" s="115"/>
      <c r="E18" s="115"/>
      <c r="F18" s="115">
        <f>F15+F17</f>
        <v>-1197846.169999999</v>
      </c>
      <c r="G18" s="116"/>
    </row>
    <row r="19" spans="1:7" ht="15" customHeight="1">
      <c r="A19" s="116"/>
      <c r="B19" s="116"/>
      <c r="C19" s="115"/>
      <c r="D19" s="115"/>
      <c r="E19" s="115"/>
      <c r="F19" s="115"/>
      <c r="G19" s="11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5" width="12.50390625" style="0" customWidth="1"/>
  </cols>
  <sheetData>
    <row r="1" spans="2:5" ht="26.25">
      <c r="B1" s="190" t="s">
        <v>161</v>
      </c>
      <c r="C1" s="191"/>
      <c r="D1" s="196"/>
      <c r="E1" s="196"/>
    </row>
    <row r="2" spans="2:5" ht="12.75">
      <c r="B2" s="190" t="s">
        <v>162</v>
      </c>
      <c r="C2" s="191"/>
      <c r="D2" s="196"/>
      <c r="E2" s="196"/>
    </row>
    <row r="3" spans="2:5" ht="12.75">
      <c r="B3" s="192"/>
      <c r="C3" s="192"/>
      <c r="D3" s="197"/>
      <c r="E3" s="197"/>
    </row>
    <row r="4" spans="2:5" ht="52.5">
      <c r="B4" s="193" t="s">
        <v>163</v>
      </c>
      <c r="C4" s="192"/>
      <c r="D4" s="197"/>
      <c r="E4" s="197"/>
    </row>
    <row r="5" spans="2:5" ht="12.75">
      <c r="B5" s="192"/>
      <c r="C5" s="192"/>
      <c r="D5" s="197"/>
      <c r="E5" s="197"/>
    </row>
    <row r="6" spans="2:5" ht="39">
      <c r="B6" s="190" t="s">
        <v>164</v>
      </c>
      <c r="C6" s="191"/>
      <c r="D6" s="196"/>
      <c r="E6" s="198" t="s">
        <v>165</v>
      </c>
    </row>
    <row r="7" spans="2:5" ht="13.5" thickBot="1">
      <c r="B7" s="192"/>
      <c r="C7" s="192"/>
      <c r="D7" s="197"/>
      <c r="E7" s="197"/>
    </row>
    <row r="8" spans="2:5" ht="53.25" thickBot="1">
      <c r="B8" s="194" t="s">
        <v>166</v>
      </c>
      <c r="C8" s="195"/>
      <c r="D8" s="199"/>
      <c r="E8" s="200">
        <v>2</v>
      </c>
    </row>
    <row r="9" spans="2:5" ht="12.75">
      <c r="B9" s="192"/>
      <c r="C9" s="192"/>
      <c r="D9" s="197"/>
      <c r="E9" s="197"/>
    </row>
    <row r="10" spans="2:5" ht="12.75">
      <c r="B10" s="192"/>
      <c r="C10" s="192"/>
      <c r="D10" s="197"/>
      <c r="E10" s="19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2012-09-27T14:26:53Z</cp:lastPrinted>
  <dcterms:created xsi:type="dcterms:W3CDTF">2010-12-02T20:37:32Z</dcterms:created>
  <dcterms:modified xsi:type="dcterms:W3CDTF">2012-11-16T13:00:51Z</dcterms:modified>
  <cp:category/>
  <cp:version/>
  <cp:contentType/>
  <cp:contentStatus/>
</cp:coreProperties>
</file>