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140" windowWidth="15480" windowHeight="7050"/>
  </bookViews>
  <sheets>
    <sheet name="Смета" sheetId="1" r:id="rId1"/>
    <sheet name="Лист1" sheetId="7" r:id="rId2"/>
  </sheets>
  <definedNames>
    <definedName name="_xlnm._FilterDatabase" localSheetId="0" hidden="1">Смета!$A$1:$U$78</definedName>
    <definedName name="OLE_LINK3" localSheetId="0">Смета!$K$73</definedName>
    <definedName name="_xlnm.Print_Area" localSheetId="0">Смета!$A$1:$U$83</definedName>
  </definedNames>
  <calcPr calcId="125725"/>
</workbook>
</file>

<file path=xl/calcChain.xml><?xml version="1.0" encoding="utf-8"?>
<calcChain xmlns="http://schemas.openxmlformats.org/spreadsheetml/2006/main">
  <c r="Q8" i="1"/>
  <c r="S10" l="1"/>
  <c r="S8"/>
  <c r="M15" l="1"/>
  <c r="O26"/>
  <c r="M26" l="1"/>
  <c r="K26"/>
  <c r="J44"/>
  <c r="R38"/>
  <c r="M63"/>
  <c r="M25"/>
  <c r="J25"/>
  <c r="N17"/>
  <c r="N5"/>
  <c r="N7"/>
  <c r="O67" l="1"/>
  <c r="R5" l="1"/>
  <c r="P67" l="1"/>
  <c r="S5" l="1"/>
  <c r="R49" l="1"/>
  <c r="R8"/>
  <c r="R73"/>
  <c r="R75"/>
  <c r="R33"/>
  <c r="R17"/>
  <c r="R7"/>
  <c r="R66" l="1"/>
  <c r="Q5" l="1"/>
  <c r="O5"/>
  <c r="R10"/>
  <c r="Q67" l="1"/>
  <c r="Q49"/>
  <c r="O38"/>
  <c r="Q38"/>
  <c r="Q7" l="1"/>
  <c r="Q30"/>
  <c r="Q10"/>
  <c r="P68" l="1"/>
  <c r="P52"/>
  <c r="P45"/>
  <c r="P5" l="1"/>
  <c r="P8"/>
  <c r="P7"/>
  <c r="P31"/>
  <c r="P10"/>
  <c r="P13"/>
  <c r="P38" l="1"/>
  <c r="O8"/>
  <c r="N19" l="1"/>
  <c r="M5" l="1"/>
  <c r="M8" l="1"/>
  <c r="M7"/>
  <c r="O7" l="1"/>
  <c r="O30" l="1"/>
  <c r="O10" l="1"/>
  <c r="N8" l="1"/>
  <c r="N13"/>
  <c r="N24" l="1"/>
  <c r="N49"/>
  <c r="N44"/>
  <c r="N25"/>
  <c r="N11"/>
  <c r="N16" l="1"/>
  <c r="N10"/>
  <c r="N9"/>
  <c r="N73" l="1"/>
  <c r="M49" l="1"/>
  <c r="M45"/>
  <c r="M11"/>
  <c r="M22"/>
  <c r="M19" s="1"/>
  <c r="M16" s="1"/>
  <c r="M62"/>
  <c r="M13" l="1"/>
  <c r="L8"/>
  <c r="K8"/>
  <c r="M60"/>
  <c r="M38"/>
  <c r="M10"/>
  <c r="L13"/>
  <c r="L5"/>
  <c r="L7"/>
  <c r="L66"/>
  <c r="L34"/>
  <c r="L10"/>
  <c r="K5" l="1"/>
  <c r="J13"/>
  <c r="K25"/>
  <c r="K11"/>
  <c r="K45"/>
  <c r="K49"/>
  <c r="K24"/>
  <c r="K7" l="1"/>
  <c r="K17"/>
  <c r="K10"/>
  <c r="K38"/>
  <c r="J5" l="1"/>
  <c r="J8" l="1"/>
  <c r="J11"/>
  <c r="J55"/>
  <c r="J7" l="1"/>
  <c r="J6"/>
  <c r="J36"/>
  <c r="J31"/>
  <c r="J10"/>
  <c r="J18"/>
  <c r="I5" l="1"/>
  <c r="I8"/>
  <c r="I45"/>
  <c r="I12"/>
  <c r="I11"/>
  <c r="I17"/>
  <c r="I24"/>
  <c r="H5" l="1"/>
  <c r="H8"/>
  <c r="H11"/>
  <c r="G5" l="1"/>
  <c r="G8"/>
  <c r="G44"/>
  <c r="G24"/>
  <c r="H70" l="1"/>
  <c r="H60"/>
  <c r="I71"/>
  <c r="I73"/>
  <c r="I10"/>
  <c r="I7"/>
  <c r="H7" l="1"/>
  <c r="H6"/>
  <c r="H17" l="1"/>
  <c r="G11" l="1"/>
  <c r="G45"/>
  <c r="G30" l="1"/>
  <c r="G21"/>
  <c r="F7" l="1"/>
  <c r="G12"/>
  <c r="O51" l="1"/>
  <c r="F51" l="1"/>
  <c r="F43"/>
  <c r="F28"/>
  <c r="F23"/>
  <c r="F16"/>
  <c r="F12"/>
  <c r="F9"/>
  <c r="T5" l="1"/>
  <c r="U5" s="1"/>
  <c r="D7" l="1"/>
  <c r="T71" l="1"/>
  <c r="U71" s="1"/>
  <c r="T72"/>
  <c r="U72" s="1"/>
  <c r="T73"/>
  <c r="U73" s="1"/>
  <c r="T74"/>
  <c r="U74" s="1"/>
  <c r="T75"/>
  <c r="U75" s="1"/>
  <c r="T70"/>
  <c r="U70" s="1"/>
  <c r="T69"/>
  <c r="U69" s="1"/>
  <c r="T65"/>
  <c r="U65" s="1"/>
  <c r="I68"/>
  <c r="J68"/>
  <c r="K68"/>
  <c r="L68"/>
  <c r="M68"/>
  <c r="N68"/>
  <c r="O68"/>
  <c r="Q68"/>
  <c r="R68"/>
  <c r="S68"/>
  <c r="H68"/>
  <c r="G68"/>
  <c r="F68"/>
  <c r="D65" l="1"/>
  <c r="C65" s="1"/>
  <c r="E12"/>
  <c r="D74"/>
  <c r="C74" s="1"/>
  <c r="E68"/>
  <c r="D75"/>
  <c r="C75" s="1"/>
  <c r="D72"/>
  <c r="C72" s="1"/>
  <c r="D73"/>
  <c r="C73" s="1"/>
  <c r="D71"/>
  <c r="C71" s="1"/>
  <c r="D70"/>
  <c r="C70" s="1"/>
  <c r="D69"/>
  <c r="C69" s="1"/>
  <c r="T40" l="1"/>
  <c r="U40" s="1"/>
  <c r="T41"/>
  <c r="U41" s="1"/>
  <c r="T66"/>
  <c r="U66" s="1"/>
  <c r="D66"/>
  <c r="C66" s="1"/>
  <c r="E51"/>
  <c r="E43" l="1"/>
  <c r="E28"/>
  <c r="D41"/>
  <c r="C41" s="1"/>
  <c r="D40"/>
  <c r="C40" s="1"/>
  <c r="T68"/>
  <c r="T22"/>
  <c r="T77"/>
  <c r="U77" s="1"/>
  <c r="D29" l="1"/>
  <c r="T20" l="1"/>
  <c r="U20" s="1"/>
  <c r="T21"/>
  <c r="U21" s="1"/>
  <c r="R51"/>
  <c r="P43"/>
  <c r="O19"/>
  <c r="O16" s="1"/>
  <c r="P19"/>
  <c r="P16" s="1"/>
  <c r="M51"/>
  <c r="C7"/>
  <c r="P28"/>
  <c r="O9"/>
  <c r="T61"/>
  <c r="U61" s="1"/>
  <c r="T48"/>
  <c r="U48" s="1"/>
  <c r="L43"/>
  <c r="T18"/>
  <c r="U18" s="1"/>
  <c r="K43"/>
  <c r="I19"/>
  <c r="I9"/>
  <c r="I28"/>
  <c r="H28"/>
  <c r="G9"/>
  <c r="D77" i="7"/>
  <c r="C77" s="1"/>
  <c r="D76"/>
  <c r="C76" s="1"/>
  <c r="D75"/>
  <c r="C75" s="1"/>
  <c r="D74"/>
  <c r="C74" s="1"/>
  <c r="D73"/>
  <c r="C73" s="1"/>
  <c r="D72"/>
  <c r="C72" s="1"/>
  <c r="D71"/>
  <c r="C71" s="1"/>
  <c r="D70"/>
  <c r="C70" s="1"/>
  <c r="D69"/>
  <c r="C69" s="1"/>
  <c r="D68"/>
  <c r="C68" s="1"/>
  <c r="D67"/>
  <c r="C67" s="1"/>
  <c r="D66"/>
  <c r="C66" s="1"/>
  <c r="D65"/>
  <c r="C65" s="1"/>
  <c r="D64"/>
  <c r="C64" s="1"/>
  <c r="D63"/>
  <c r="C63" s="1"/>
  <c r="D62"/>
  <c r="C62" s="1"/>
  <c r="D61"/>
  <c r="C61" s="1"/>
  <c r="D60"/>
  <c r="C60" s="1"/>
  <c r="D59"/>
  <c r="C59" s="1"/>
  <c r="D58"/>
  <c r="C58" s="1"/>
  <c r="D57"/>
  <c r="C57" s="1"/>
  <c r="D56"/>
  <c r="C56" s="1"/>
  <c r="E55"/>
  <c r="D55" s="1"/>
  <c r="C55" s="1"/>
  <c r="D54"/>
  <c r="C54" s="1"/>
  <c r="D53"/>
  <c r="C53" s="1"/>
  <c r="D52"/>
  <c r="C52" s="1"/>
  <c r="D51"/>
  <c r="C51" s="1"/>
  <c r="D50"/>
  <c r="C50" s="1"/>
  <c r="D49"/>
  <c r="C49" s="1"/>
  <c r="D48"/>
  <c r="C48" s="1"/>
  <c r="D47"/>
  <c r="C47" s="1"/>
  <c r="E46"/>
  <c r="D46" s="1"/>
  <c r="C46" s="1"/>
  <c r="D45"/>
  <c r="C45" s="1"/>
  <c r="D44"/>
  <c r="C44" s="1"/>
  <c r="D43"/>
  <c r="C43" s="1"/>
  <c r="D42"/>
  <c r="C42" s="1"/>
  <c r="D41"/>
  <c r="C41" s="1"/>
  <c r="D40"/>
  <c r="C40" s="1"/>
  <c r="D39"/>
  <c r="D38"/>
  <c r="D37"/>
  <c r="C37" s="1"/>
  <c r="D36"/>
  <c r="C36" s="1"/>
  <c r="D35"/>
  <c r="C35" s="1"/>
  <c r="D34"/>
  <c r="C34" s="1"/>
  <c r="D33"/>
  <c r="C33" s="1"/>
  <c r="E32"/>
  <c r="D32" s="1"/>
  <c r="C32" s="1"/>
  <c r="D31"/>
  <c r="C31" s="1"/>
  <c r="D30"/>
  <c r="C30" s="1"/>
  <c r="D29"/>
  <c r="C29" s="1"/>
  <c r="D28"/>
  <c r="C28" s="1"/>
  <c r="D27"/>
  <c r="C27" s="1"/>
  <c r="E26"/>
  <c r="D26" s="1"/>
  <c r="C26" s="1"/>
  <c r="D25"/>
  <c r="D24"/>
  <c r="D23"/>
  <c r="E22"/>
  <c r="D22" s="1"/>
  <c r="C22" s="1"/>
  <c r="D21"/>
  <c r="C21" s="1"/>
  <c r="D20"/>
  <c r="C20" s="1"/>
  <c r="D18"/>
  <c r="C18" s="1"/>
  <c r="D17"/>
  <c r="D16"/>
  <c r="E15"/>
  <c r="D15" s="1"/>
  <c r="C15" s="1"/>
  <c r="D14"/>
  <c r="C14" s="1"/>
  <c r="D12"/>
  <c r="C12" s="1"/>
  <c r="D11"/>
  <c r="C11" s="1"/>
  <c r="E10"/>
  <c r="D10" s="1"/>
  <c r="C10" s="1"/>
  <c r="D9"/>
  <c r="C9" s="1"/>
  <c r="D8"/>
  <c r="C8" s="1"/>
  <c r="D7"/>
  <c r="C7" s="1"/>
  <c r="D6"/>
  <c r="C6" s="1"/>
  <c r="T76" i="1"/>
  <c r="U76" s="1"/>
  <c r="D76"/>
  <c r="C76" s="1"/>
  <c r="D6"/>
  <c r="C6" s="1"/>
  <c r="S19"/>
  <c r="S16" s="1"/>
  <c r="D14"/>
  <c r="C14" s="1"/>
  <c r="T50"/>
  <c r="U50" s="1"/>
  <c r="T29"/>
  <c r="U29" s="1"/>
  <c r="D50"/>
  <c r="C50" s="1"/>
  <c r="T34"/>
  <c r="U34" s="1"/>
  <c r="T35"/>
  <c r="U35" s="1"/>
  <c r="D35"/>
  <c r="C35" s="1"/>
  <c r="D34"/>
  <c r="C34" s="1"/>
  <c r="T24"/>
  <c r="U24" s="1"/>
  <c r="T25"/>
  <c r="U25" s="1"/>
  <c r="T26"/>
  <c r="U26" s="1"/>
  <c r="T27"/>
  <c r="U27" s="1"/>
  <c r="T31"/>
  <c r="U31" s="1"/>
  <c r="T33"/>
  <c r="U33" s="1"/>
  <c r="T36"/>
  <c r="U36" s="1"/>
  <c r="T37"/>
  <c r="U37" s="1"/>
  <c r="T42"/>
  <c r="U42" s="1"/>
  <c r="T46"/>
  <c r="U46" s="1"/>
  <c r="T47"/>
  <c r="U47" s="1"/>
  <c r="T54"/>
  <c r="U54" s="1"/>
  <c r="T56"/>
  <c r="U56" s="1"/>
  <c r="T57"/>
  <c r="U57" s="1"/>
  <c r="T58"/>
  <c r="U58" s="1"/>
  <c r="T59"/>
  <c r="U59" s="1"/>
  <c r="T60"/>
  <c r="U60" s="1"/>
  <c r="T62"/>
  <c r="U62" s="1"/>
  <c r="T64"/>
  <c r="U64" s="1"/>
  <c r="T15"/>
  <c r="U15" s="1"/>
  <c r="R9"/>
  <c r="R23"/>
  <c r="Q28"/>
  <c r="Q9"/>
  <c r="Q43"/>
  <c r="L19"/>
  <c r="L16" s="1"/>
  <c r="M43"/>
  <c r="L28"/>
  <c r="T39"/>
  <c r="U39" s="1"/>
  <c r="O23"/>
  <c r="P51"/>
  <c r="Q23"/>
  <c r="Q51"/>
  <c r="R28"/>
  <c r="O28"/>
  <c r="T52"/>
  <c r="U52" s="1"/>
  <c r="T63"/>
  <c r="U63" s="1"/>
  <c r="H43"/>
  <c r="J28"/>
  <c r="I43"/>
  <c r="H9"/>
  <c r="T13"/>
  <c r="U13" s="1"/>
  <c r="S43"/>
  <c r="G43"/>
  <c r="S9"/>
  <c r="J12"/>
  <c r="K12"/>
  <c r="L12"/>
  <c r="M12"/>
  <c r="N12"/>
  <c r="O12"/>
  <c r="P12"/>
  <c r="Q12"/>
  <c r="R12"/>
  <c r="S12"/>
  <c r="J19"/>
  <c r="K19"/>
  <c r="Q19"/>
  <c r="Q16" s="1"/>
  <c r="R19"/>
  <c r="R16" s="1"/>
  <c r="G19"/>
  <c r="G16" s="1"/>
  <c r="J23"/>
  <c r="K23"/>
  <c r="M23"/>
  <c r="P23"/>
  <c r="S23"/>
  <c r="G23"/>
  <c r="S28"/>
  <c r="G28"/>
  <c r="D28"/>
  <c r="C28" s="1"/>
  <c r="D51"/>
  <c r="C51" s="1"/>
  <c r="S51"/>
  <c r="I51"/>
  <c r="H51"/>
  <c r="G51"/>
  <c r="I23"/>
  <c r="D49"/>
  <c r="C49" s="1"/>
  <c r="H12"/>
  <c r="D63"/>
  <c r="C63" s="1"/>
  <c r="E9"/>
  <c r="E19"/>
  <c r="D19" s="1"/>
  <c r="C19" s="1"/>
  <c r="E23"/>
  <c r="D39"/>
  <c r="C39" s="1"/>
  <c r="D68"/>
  <c r="C68" s="1"/>
  <c r="D18"/>
  <c r="C18" s="1"/>
  <c r="D48"/>
  <c r="C48" s="1"/>
  <c r="D47"/>
  <c r="C47" s="1"/>
  <c r="D64"/>
  <c r="C64" s="1"/>
  <c r="D62"/>
  <c r="C62" s="1"/>
  <c r="D38"/>
  <c r="C38" s="1"/>
  <c r="D77"/>
  <c r="C77" s="1"/>
  <c r="D67"/>
  <c r="C67" s="1"/>
  <c r="D22"/>
  <c r="C22" s="1"/>
  <c r="D21"/>
  <c r="C21" s="1"/>
  <c r="D61"/>
  <c r="C61" s="1"/>
  <c r="D60"/>
  <c r="C60" s="1"/>
  <c r="D59"/>
  <c r="C59" s="1"/>
  <c r="D58"/>
  <c r="C58" s="1"/>
  <c r="D57"/>
  <c r="C57" s="1"/>
  <c r="D56"/>
  <c r="C56" s="1"/>
  <c r="D55"/>
  <c r="C55" s="1"/>
  <c r="D54"/>
  <c r="C54" s="1"/>
  <c r="D53"/>
  <c r="C53" s="1"/>
  <c r="D52"/>
  <c r="C52" s="1"/>
  <c r="D46"/>
  <c r="C46" s="1"/>
  <c r="D44"/>
  <c r="C44" s="1"/>
  <c r="D42"/>
  <c r="C42" s="1"/>
  <c r="D37"/>
  <c r="C37" s="1"/>
  <c r="D36"/>
  <c r="C36" s="1"/>
  <c r="D33"/>
  <c r="C33" s="1"/>
  <c r="D32"/>
  <c r="C32" s="1"/>
  <c r="D31"/>
  <c r="C31" s="1"/>
  <c r="D30"/>
  <c r="C30" s="1"/>
  <c r="C29"/>
  <c r="D27"/>
  <c r="C27" s="1"/>
  <c r="D26"/>
  <c r="C26" s="1"/>
  <c r="D25"/>
  <c r="C25" s="1"/>
  <c r="D24"/>
  <c r="C24" s="1"/>
  <c r="D5"/>
  <c r="C5" s="1"/>
  <c r="D8"/>
  <c r="C8" s="1"/>
  <c r="D15"/>
  <c r="C15" s="1"/>
  <c r="D17"/>
  <c r="C17" s="1"/>
  <c r="D13"/>
  <c r="C13" s="1"/>
  <c r="D11"/>
  <c r="C11" s="1"/>
  <c r="D10"/>
  <c r="C10" s="1"/>
  <c r="D20"/>
  <c r="C20" s="1"/>
  <c r="D45"/>
  <c r="C45" s="1"/>
  <c r="N23"/>
  <c r="J51"/>
  <c r="L23"/>
  <c r="M9"/>
  <c r="H23"/>
  <c r="M28"/>
  <c r="R43"/>
  <c r="N28"/>
  <c r="T30"/>
  <c r="U30" s="1"/>
  <c r="K51"/>
  <c r="T44"/>
  <c r="U44" s="1"/>
  <c r="T53"/>
  <c r="U53" s="1"/>
  <c r="E13" i="7" l="1"/>
  <c r="D13" s="1"/>
  <c r="C13" s="1"/>
  <c r="G78" i="1"/>
  <c r="E19" i="7"/>
  <c r="D19" s="1"/>
  <c r="C19" s="1"/>
  <c r="D12" i="1"/>
  <c r="C12" s="1"/>
  <c r="M78"/>
  <c r="S78"/>
  <c r="Q78"/>
  <c r="R78"/>
  <c r="T23"/>
  <c r="U23" s="1"/>
  <c r="U68"/>
  <c r="T49"/>
  <c r="U49" s="1"/>
  <c r="P9"/>
  <c r="P78" s="1"/>
  <c r="N51"/>
  <c r="T45"/>
  <c r="U45" s="1"/>
  <c r="K16"/>
  <c r="T14"/>
  <c r="U14" s="1"/>
  <c r="T32"/>
  <c r="U32" s="1"/>
  <c r="U22"/>
  <c r="T17"/>
  <c r="U17" s="1"/>
  <c r="J43"/>
  <c r="N43"/>
  <c r="T6"/>
  <c r="U6" s="1"/>
  <c r="O43"/>
  <c r="O78" s="1"/>
  <c r="I16"/>
  <c r="T11"/>
  <c r="U11" s="1"/>
  <c r="T12"/>
  <c r="U12" s="1"/>
  <c r="E16"/>
  <c r="D16" s="1"/>
  <c r="C16" s="1"/>
  <c r="H19"/>
  <c r="H16" s="1"/>
  <c r="H78" s="1"/>
  <c r="J16"/>
  <c r="T55"/>
  <c r="U55" s="1"/>
  <c r="T8"/>
  <c r="U8" s="1"/>
  <c r="J9"/>
  <c r="T38"/>
  <c r="U38" s="1"/>
  <c r="T67"/>
  <c r="U67" s="1"/>
  <c r="K9"/>
  <c r="L9"/>
  <c r="T7"/>
  <c r="U7" s="1"/>
  <c r="D23"/>
  <c r="C23" s="1"/>
  <c r="F78"/>
  <c r="L51"/>
  <c r="T10"/>
  <c r="U10" s="1"/>
  <c r="K28"/>
  <c r="D43"/>
  <c r="C43" s="1"/>
  <c r="D9"/>
  <c r="C9" s="1"/>
  <c r="E78" i="7" l="1"/>
  <c r="D78" s="1"/>
  <c r="L78" i="1"/>
  <c r="J78"/>
  <c r="K78"/>
  <c r="N78"/>
  <c r="I78"/>
  <c r="T43"/>
  <c r="U43" s="1"/>
  <c r="T16"/>
  <c r="U16" s="1"/>
  <c r="T19"/>
  <c r="U19" s="1"/>
  <c r="T9"/>
  <c r="U9" s="1"/>
  <c r="T28"/>
  <c r="T51"/>
  <c r="U51" s="1"/>
  <c r="D78" l="1"/>
  <c r="D83" s="1"/>
  <c r="D83" i="7"/>
  <c r="C78"/>
  <c r="U28" i="1"/>
  <c r="U78" s="1"/>
  <c r="T78"/>
  <c r="C78" l="1"/>
  <c r="C39" i="7"/>
  <c r="C38"/>
</calcChain>
</file>

<file path=xl/comments1.xml><?xml version="1.0" encoding="utf-8"?>
<comments xmlns="http://schemas.openxmlformats.org/spreadsheetml/2006/main">
  <authors>
    <author>Максим</author>
    <author>User 1</author>
  </authors>
  <commentList>
    <comment ref="M15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Подписка "Система управления МКД" и обучение по теплу
</t>
        </r>
      </text>
    </comment>
    <comment ref="N17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 том числе 5000 за бланки для показаний ИПУ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Подписка 1С ИТС на год</t>
        </r>
      </text>
    </comment>
    <comment ref="N21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1С зарплата и кадры
</t>
        </r>
      </text>
    </comment>
    <comment ref="Q21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СБИС</t>
        </r>
      </text>
    </comment>
    <comment ref="P31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Доп. оборудвание тревожная кнопка в диспечерской</t>
        </r>
      </text>
    </comment>
    <comment ref="P32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ИБП дл шкафов автоматики ИТП</t>
        </r>
      </text>
    </comment>
    <comment ref="R33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оплачено за октябрь и ноябрь
</t>
        </r>
      </text>
    </comment>
    <comment ref="S33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оплата за декабрь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ТО наружных гапроводов Газпром</t>
        </r>
      </text>
    </comment>
    <comment ref="O37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Предоплата за ТО ВДГО РостовГазСервис</t>
        </r>
      </text>
    </comment>
    <comment ref="P37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доплата за ТО ВДГО
</t>
        </r>
      </text>
    </comment>
    <comment ref="H46" authorId="1">
      <text>
        <r>
          <rPr>
            <b/>
            <sz val="8"/>
            <color indexed="81"/>
            <rFont val="Tahoma"/>
            <family val="2"/>
            <charset val="204"/>
          </rPr>
          <t>табличка</t>
        </r>
      </text>
    </comment>
    <comment ref="Q49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15765 насос ГВС 12 подъезд</t>
        </r>
      </text>
    </comment>
    <comment ref="G50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песко/соль по ав/о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55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сетка для детской площадки+ доставка
</t>
        </r>
      </text>
    </comment>
    <comment ref="K61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Обработка от клещей</t>
        </r>
      </text>
    </comment>
    <comment ref="L63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Ливневка 10 подъезд</t>
        </r>
      </text>
    </comment>
    <comment ref="P63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нанесение разметки парковочных карманов</t>
        </r>
      </text>
    </comment>
    <comment ref="L66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За материалы и проект</t>
        </r>
      </text>
    </comment>
    <comment ref="R66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Предоплата за монтаж</t>
        </r>
      </text>
    </comment>
    <comment ref="I67" authorId="1">
      <text>
        <r>
          <rPr>
            <b/>
            <sz val="8"/>
            <color indexed="81"/>
            <rFont val="Tahoma"/>
            <family val="2"/>
            <charset val="204"/>
          </rPr>
          <t>Объявление на НН</t>
        </r>
      </text>
    </comment>
    <comment ref="O67" authorId="0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объявление на НН, компенсация после залития 21700
</t>
        </r>
      </text>
    </comment>
    <comment ref="P67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компенсация после залития квартир по решению правления </t>
        </r>
      </text>
    </comment>
    <comment ref="Q67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коврики в тамбура подъездов</t>
        </r>
      </text>
    </comment>
    <comment ref="R67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спецоценка условий труда</t>
        </r>
      </text>
    </comment>
    <comment ref="G69" authorId="1">
      <text>
        <r>
          <rPr>
            <b/>
            <sz val="8"/>
            <color indexed="81"/>
            <rFont val="Tahoma"/>
            <family val="2"/>
            <charset val="204"/>
          </rPr>
          <t>1 кв 2019</t>
        </r>
      </text>
    </comment>
    <comment ref="I69" authorId="1">
      <text>
        <r>
          <rPr>
            <b/>
            <sz val="8"/>
            <color indexed="81"/>
            <rFont val="Tahoma"/>
            <family val="2"/>
            <charset val="204"/>
          </rPr>
          <t>2-й кв 2019</t>
        </r>
      </text>
    </comment>
    <comment ref="L69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3й квартал
</t>
        </r>
      </text>
    </comment>
    <comment ref="P69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4 кв.
</t>
        </r>
      </text>
    </comment>
    <comment ref="G70" authorId="1">
      <text>
        <r>
          <rPr>
            <b/>
            <sz val="8"/>
            <color indexed="81"/>
            <rFont val="Tahoma"/>
            <family val="2"/>
            <charset val="204"/>
          </rPr>
          <t>01-02.2019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70" authorId="1">
      <text>
        <r>
          <rPr>
            <b/>
            <sz val="8"/>
            <color indexed="81"/>
            <rFont val="Tahoma"/>
            <family val="2"/>
            <charset val="204"/>
          </rPr>
          <t>12.18-01-03.19</t>
        </r>
      </text>
    </comment>
    <comment ref="J70" authorId="1">
      <text>
        <r>
          <rPr>
            <b/>
            <sz val="8"/>
            <color indexed="81"/>
            <rFont val="Tahoma"/>
            <family val="2"/>
            <charset val="204"/>
          </rPr>
          <t>за 2 квартал</t>
        </r>
      </text>
    </comment>
    <comment ref="M70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з квартал</t>
        </r>
      </text>
    </comment>
    <comment ref="P70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4 кв
</t>
        </r>
      </text>
    </comment>
    <comment ref="I71" authorId="1">
      <text>
        <r>
          <rPr>
            <b/>
            <sz val="8"/>
            <color indexed="81"/>
            <rFont val="Tahoma"/>
            <family val="2"/>
            <charset val="204"/>
          </rPr>
          <t>12.2018-01-02.2019</t>
        </r>
      </text>
    </comment>
    <comment ref="J71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март</t>
        </r>
      </text>
    </comment>
    <comment ref="K71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апрель</t>
        </r>
      </text>
    </comment>
    <comment ref="L71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май</t>
        </r>
      </text>
    </comment>
    <comment ref="O71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июнь, июль, август
</t>
        </r>
      </text>
    </comment>
    <comment ref="P71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за сентябрь</t>
        </r>
      </text>
    </comment>
    <comment ref="Q71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за октябрь 2019</t>
        </r>
      </text>
    </comment>
    <comment ref="R71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за ноябрь</t>
        </r>
      </text>
    </comment>
    <comment ref="I72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01-03.2019
</t>
        </r>
      </text>
    </comment>
    <comment ref="L72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апрель-июнь</t>
        </r>
      </text>
    </comment>
    <comment ref="O72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июль, август, сентябрь
</t>
        </r>
      </text>
    </comment>
    <comment ref="R72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октябрь ноябрь декабрь</t>
        </r>
      </text>
    </comment>
    <comment ref="F7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11, 12 2018
</t>
        </r>
      </text>
    </comment>
    <comment ref="I7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01-02.2019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73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март
</t>
        </r>
      </text>
    </comment>
    <comment ref="K73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апрель</t>
        </r>
      </text>
    </comment>
    <comment ref="M73" authorId="1">
      <text>
        <r>
          <rPr>
            <b/>
            <sz val="8"/>
            <color indexed="81"/>
            <rFont val="Tahoma"/>
            <family val="2"/>
            <charset val="204"/>
          </rPr>
          <t>User 1:</t>
        </r>
        <r>
          <rPr>
            <sz val="8"/>
            <color indexed="81"/>
            <rFont val="Tahoma"/>
            <family val="2"/>
            <charset val="204"/>
          </rPr>
          <t xml:space="preserve">
май</t>
        </r>
      </text>
    </comment>
    <comment ref="P73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август, сентябрь
</t>
        </r>
      </text>
    </comment>
    <comment ref="R73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за ноябрь
и октябрь
</t>
        </r>
      </text>
    </comment>
    <comment ref="H75" authorId="1">
      <text>
        <r>
          <rPr>
            <b/>
            <sz val="8"/>
            <color indexed="81"/>
            <rFont val="Tahoma"/>
            <family val="2"/>
            <charset val="204"/>
          </rPr>
          <t>ЭР-телеком 11.18-03.19</t>
        </r>
      </text>
    </comment>
    <comment ref="P75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вода
</t>
        </r>
      </text>
    </comment>
    <comment ref="Q75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Родионов вода за ноябрь
</t>
        </r>
      </text>
    </comment>
    <comment ref="R75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Родионов за декабрь Верзунов за ноябрь
</t>
        </r>
      </text>
    </comment>
    <comment ref="S75" authorId="1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за декабрь</t>
        </r>
      </text>
    </comment>
  </commentList>
</comments>
</file>

<file path=xl/sharedStrings.xml><?xml version="1.0" encoding="utf-8"?>
<sst xmlns="http://schemas.openxmlformats.org/spreadsheetml/2006/main" count="315" uniqueCount="214">
  <si>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</si>
  <si>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</si>
  <si>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</si>
  <si>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</si>
  <si>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</si>
  <si>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</si>
  <si>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</si>
  <si>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</si>
  <si>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</si>
  <si>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</si>
  <si>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</si>
  <si>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</si>
  <si>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</si>
  <si>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</si>
  <si>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</si>
  <si>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</si>
  <si>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</si>
  <si>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</si>
  <si>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</si>
  <si>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</si>
  <si>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</si>
  <si>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</si>
  <si>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</si>
  <si>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</si>
  <si>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</si>
  <si>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</si>
  <si>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</si>
  <si>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</si>
  <si>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</si>
  <si>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</si>
  <si>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</si>
  <si>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</si>
  <si>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</si>
  <si>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</si>
  <si>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</si>
  <si>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</si>
  <si>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</si>
  <si>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</si>
  <si>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</si>
  <si>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</si>
  <si>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</si>
  <si>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</si>
  <si>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</si>
  <si>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</si>
  <si>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</si>
  <si>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5.1</t>
  </si>
  <si>
    <t>5.2</t>
  </si>
  <si>
    <t>8.1</t>
  </si>
  <si>
    <t>8.2</t>
  </si>
  <si>
    <t>8.3</t>
  </si>
  <si>
    <t>9.1</t>
  </si>
  <si>
    <t>9.2</t>
  </si>
  <si>
    <t>9.3</t>
  </si>
  <si>
    <t>9.4</t>
  </si>
  <si>
    <t>9.5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</si>
  <si>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</si>
  <si>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</si>
  <si>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</si>
  <si>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</si>
  <si>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</si>
  <si>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</si>
  <si>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</si>
  <si>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</si>
  <si>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</si>
  <si>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</si>
  <si>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</si>
  <si>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</si>
  <si>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</si>
  <si>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</si>
  <si>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</si>
  <si>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</si>
  <si>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</si>
  <si>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содержание оргтехники (заправки картриджей, запасные части и т.д.)</t>
  </si>
  <si>
    <t>10.4</t>
  </si>
  <si>
    <t>очистка кровли от снега и мусора</t>
  </si>
  <si>
    <t>10.5</t>
  </si>
  <si>
    <t>закупка и ремонт почтовых ящиков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</si>
  <si>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</si>
  <si>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</si>
  <si>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</si>
  <si>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</si>
  <si>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</si>
  <si>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</si>
  <si>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дезинфекция и дератизация подвальных помещений</t>
  </si>
  <si>
    <t>спец. одежда для персонала</t>
  </si>
  <si>
    <t>песок для песочниц, земля для газонов, пастосмесь противогололедная</t>
  </si>
  <si>
    <t>дорожные работы (асфальт, щебень, наем спецтехники)</t>
  </si>
  <si>
    <t>электротехнические материалы:</t>
  </si>
  <si>
    <t>канцтовары (бумага, ручки и т.д.)</t>
  </si>
  <si>
    <t xml:space="preserve">январь </t>
  </si>
  <si>
    <t>опрессовка системы отопления и ГВС</t>
  </si>
  <si>
    <t>заделка межпанельных швов, окрашивние фасада</t>
  </si>
  <si>
    <t>Расходы на проектирование котельного оборудования</t>
  </si>
  <si>
    <t>комплектующие и другое</t>
  </si>
  <si>
    <t>1С 8.2 обновления (подписка)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</si>
  <si>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</si>
  <si>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</si>
  <si>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</si>
  <si>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</si>
  <si>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</si>
  <si>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</si>
  <si>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</si>
  <si>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</si>
  <si>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</si>
  <si>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усиление ограждения спортивной площадки</t>
  </si>
  <si>
    <t>Услуги банка и платежных систем, нотариальные услуги, юстиция</t>
  </si>
  <si>
    <t>Фонд оплаты труда с начислениями обслуживающему персоналу</t>
  </si>
  <si>
    <t>6</t>
  </si>
  <si>
    <t>7</t>
  </si>
  <si>
    <t>8</t>
  </si>
  <si>
    <t>9</t>
  </si>
  <si>
    <t>10</t>
  </si>
  <si>
    <t>11</t>
  </si>
  <si>
    <t>12</t>
  </si>
  <si>
    <t>Остаток средств по статье "Содержание и ремонт жилья" за 2012 год</t>
  </si>
  <si>
    <t>На основании сметы расходов на 2013 г. Правление ТСЖ предлагает утвердить</t>
  </si>
  <si>
    <t>техническому содержанию и ремонту общего имущества многоквартирного дома на 2013 год</t>
  </si>
  <si>
    <t>Вознаграждение председателю правления ТСЖ</t>
  </si>
  <si>
    <t>Налоговые и иные обязательные платежи с ФОТ и вознаграждения</t>
  </si>
  <si>
    <t>Плановый доход от хозяйственной деятельности</t>
  </si>
  <si>
    <t>Налоговые и иные платежи с доходов от хозяйственной деятельности</t>
  </si>
  <si>
    <t>теплообменник пластинчатый для ГВС с проектом и обвязкой</t>
  </si>
  <si>
    <t>остекление, ремонт оконных рам</t>
  </si>
  <si>
    <t>установка ограждений клумб 270 пог.м.</t>
  </si>
  <si>
    <t>асфальтирование спортивной площадки под покрытие</t>
  </si>
  <si>
    <t>окрашивание и ремонт лавочек, детского игрового оборудования, ограждений, дверей</t>
  </si>
  <si>
    <t>установка заградительных устройств на канализационных колодцах</t>
  </si>
  <si>
    <t>Обслуживание и благоустройство мест общего пользования:</t>
  </si>
  <si>
    <t>текущий ремонт в подъездах</t>
  </si>
  <si>
    <t>устройство травмобезапасного покрытия спортивной площадки</t>
  </si>
  <si>
    <t>сантехническое оборудование (без теплообменника)</t>
  </si>
  <si>
    <t>6.1</t>
  </si>
  <si>
    <t>6.2</t>
  </si>
  <si>
    <t>6.2.1</t>
  </si>
  <si>
    <t>6.2.2</t>
  </si>
  <si>
    <t>8.3.1</t>
  </si>
  <si>
    <t>8.3.2</t>
  </si>
  <si>
    <t>8.3.3</t>
  </si>
  <si>
    <t>10.9</t>
  </si>
  <si>
    <t>10.10</t>
  </si>
  <si>
    <t>10.11</t>
  </si>
  <si>
    <t>10.12</t>
  </si>
  <si>
    <t>10.13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</si>
  <si>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</si>
  <si>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</si>
  <si>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</si>
  <si>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</si>
  <si>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</si>
  <si>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</si>
  <si>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</si>
  <si>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</si>
  <si>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</si>
  <si>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</si>
  <si>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</si>
  <si>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</si>
  <si>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</si>
  <si>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</si>
  <si>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</si>
  <si>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</si>
  <si>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</si>
  <si>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приобретение и установка новых лавок перед подъездами 12 шт.</t>
  </si>
  <si>
    <t>Тариф за     1 кв.м        в месяц</t>
  </si>
  <si>
    <t>Утверждено:                             Решением общего собрания членов ТСЖ "ПРОСТОР"                                    от 02-03 февраля 2013г.</t>
  </si>
  <si>
    <t>10.14</t>
  </si>
  <si>
    <t>электромонтажные работы</t>
  </si>
  <si>
    <t>1С обновления (подписка)</t>
  </si>
  <si>
    <t>тариф на содержание и ремонт общего имущества МКД за 1 кв.м общей площади в месяц:</t>
  </si>
  <si>
    <t>14.1</t>
  </si>
  <si>
    <t>14.2</t>
  </si>
  <si>
    <t>14.3</t>
  </si>
  <si>
    <t>14.4</t>
  </si>
  <si>
    <t>"МТС" (размещение базовой станции сотовой связи)</t>
  </si>
  <si>
    <t>"Вымпелком" (размещение базовой станции сотовой связи)</t>
  </si>
  <si>
    <t>"МТС" размещение телекоммуникационного оборудования в подъездах</t>
  </si>
  <si>
    <t>"Ростелеком" размещение телекоммуникационного оборудования в подъездах</t>
  </si>
  <si>
    <t>14.5</t>
  </si>
  <si>
    <t>14.6</t>
  </si>
  <si>
    <t>Прочие (непредвиденные доходы)</t>
  </si>
  <si>
    <t>14.7</t>
  </si>
  <si>
    <t>Пени</t>
  </si>
  <si>
    <t>мастера по уборке придомовой территории, лестничных клеток (перчатки, СМС и т.д.)</t>
  </si>
  <si>
    <t>слесарь-сантехник (перчатки, СМС и т.д.)</t>
  </si>
  <si>
    <t>утепление дверей - выходов на кровлю</t>
  </si>
  <si>
    <t>установка противопожарной сигнализации в подъездах</t>
  </si>
  <si>
    <t>электротехнические материалы</t>
  </si>
  <si>
    <t>промывка теплообменников ГВС</t>
  </si>
  <si>
    <t>откачка нечистот и чистка колодцев водоотведения</t>
  </si>
  <si>
    <t>обслуживание автоматики и циркуляционных насосов ИТП</t>
  </si>
  <si>
    <t>продление антивирусной программы KIS</t>
  </si>
  <si>
    <t>сантехническое оборудование и материалы</t>
  </si>
  <si>
    <t>песок для песочниц, земля для газонов, пастосмесь противогололедная, соль техническая</t>
  </si>
  <si>
    <t>заделка межпанельных швов, окрашивание фасада</t>
  </si>
  <si>
    <t>ремонт кровли, восстановление козырьков</t>
  </si>
  <si>
    <t>очистка внутридворовых проездов от снега спецтехникой</t>
  </si>
  <si>
    <t>дезинсекция и дератизация подвальных помещений</t>
  </si>
  <si>
    <t>усиление ограждения спортивной площадки, сети и др.</t>
  </si>
  <si>
    <t>обслуживание общедомового газового оборудования</t>
  </si>
  <si>
    <t>"ТТК" размещение телекоммуникационного оборудования в подъездах</t>
  </si>
  <si>
    <t>в январе 2019г. за декабрь 2018г.</t>
  </si>
  <si>
    <t>обслуживание ПК и програмного обеспечения, ГИС ЖКХ</t>
  </si>
  <si>
    <t>обслуживание, поверка, ремонт приборов учета, пломбы</t>
  </si>
  <si>
    <t>сантехнические и сварочные работы</t>
  </si>
  <si>
    <t>благоустройство офиса  (мебель, перегородки и др.)</t>
  </si>
  <si>
    <t>Перерасход средств по статье "Содержание и ремонт жилья" за 2018 год</t>
  </si>
  <si>
    <t>техническому содержанию и ремонту общего имущества многоквартирного дома на 2019 год</t>
  </si>
  <si>
    <t>На основании сметы расходов на 2019 г. Правление ТСЖ предлагает утвердить</t>
  </si>
  <si>
    <t>покупка и обслуживание онлайн-кассы</t>
  </si>
  <si>
    <t>обслуживание контейнерной площадки</t>
  </si>
  <si>
    <t>Сумма расходов по месяцам 2019 года, руб.</t>
  </si>
  <si>
    <t>в январе 2020г. за декабрь 2019г.</t>
  </si>
  <si>
    <r>
      <t xml:space="preserve">обслуживание </t>
    </r>
    <r>
      <rPr>
        <b/>
        <i/>
        <sz val="9"/>
        <rFont val="Arial Cyr"/>
        <charset val="204"/>
      </rPr>
      <t>домофонов</t>
    </r>
    <r>
      <rPr>
        <i/>
        <sz val="9"/>
        <rFont val="Arial Cyr"/>
        <charset val="204"/>
      </rPr>
      <t xml:space="preserve"> и дверей подъездов</t>
    </r>
  </si>
  <si>
    <r>
      <t xml:space="preserve">обслуживание </t>
    </r>
    <r>
      <rPr>
        <b/>
        <i/>
        <sz val="9"/>
        <rFont val="Arial Cyr"/>
        <charset val="204"/>
      </rPr>
      <t>охранной</t>
    </r>
    <r>
      <rPr>
        <i/>
        <sz val="9"/>
        <rFont val="Arial Cyr"/>
        <charset val="204"/>
      </rPr>
      <t xml:space="preserve"> и пожарной сигнализации в офисе</t>
    </r>
  </si>
  <si>
    <r>
      <t xml:space="preserve">обслуживание системы дворового и офисного </t>
    </r>
    <r>
      <rPr>
        <b/>
        <i/>
        <sz val="9"/>
        <rFont val="Arial Cyr"/>
        <charset val="204"/>
      </rPr>
      <t>видеонаблюдения</t>
    </r>
  </si>
  <si>
    <r>
      <rPr>
        <b/>
        <i/>
        <sz val="9"/>
        <rFont val="Arial Cyr"/>
        <charset val="204"/>
      </rPr>
      <t>телефон, интернет</t>
    </r>
    <r>
      <rPr>
        <i/>
        <sz val="9"/>
        <rFont val="Arial Cyr"/>
        <charset val="204"/>
      </rPr>
      <t>, передача отчетности по ИТС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</si>
</sst>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i/>
      <sz val="10"/>
      <color rgb="FFFF000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7030A0"/>
      <name val="Arial Cyr"/>
      <family val="2"/>
      <charset val="204"/>
    </font>
    <font>
      <i/>
      <sz val="9"/>
      <color rgb="FFFF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2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4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5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39" xfId="0" applyNumberFormat="1" applyFont="1" applyFill="1" applyBorder="1" applyAlignment="1"/>
    <xf numFmtId="0" fontId="7" fillId="0" borderId="33" xfId="0" applyNumberFormat="1" applyFont="1" applyFill="1" applyBorder="1" applyAlignment="1"/>
    <xf numFmtId="0" fontId="1" fillId="0" borderId="39" xfId="0" applyFont="1" applyFill="1" applyBorder="1" applyAlignment="1"/>
    <xf numFmtId="0" fontId="1" fillId="0" borderId="39" xfId="0" applyFont="1" applyFill="1" applyBorder="1" applyAlignment="1">
      <alignment vertical="center"/>
    </xf>
    <xf numFmtId="0" fontId="7" fillId="0" borderId="33" xfId="0" applyFont="1" applyFill="1" applyBorder="1" applyAlignment="1"/>
    <xf numFmtId="0" fontId="3" fillId="0" borderId="30" xfId="0" applyFont="1" applyBorder="1" applyAlignment="1">
      <alignment horizontal="left"/>
    </xf>
    <xf numFmtId="2" fontId="3" fillId="0" borderId="4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39" xfId="0" applyFont="1" applyFill="1" applyBorder="1"/>
    <xf numFmtId="16" fontId="5" fillId="3" borderId="44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/>
    <xf numFmtId="16" fontId="5" fillId="3" borderId="47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3" xfId="0" applyFont="1" applyFill="1" applyBorder="1"/>
    <xf numFmtId="0" fontId="7" fillId="0" borderId="48" xfId="0" applyFont="1" applyFill="1" applyBorder="1"/>
    <xf numFmtId="0" fontId="3" fillId="0" borderId="33" xfId="0" applyFont="1" applyFill="1" applyBorder="1" applyAlignment="1"/>
    <xf numFmtId="0" fontId="7" fillId="0" borderId="48" xfId="0" applyFont="1" applyFill="1" applyBorder="1" applyAlignment="1"/>
    <xf numFmtId="0" fontId="5" fillId="0" borderId="44" xfId="0" applyFont="1" applyFill="1" applyBorder="1"/>
    <xf numFmtId="2" fontId="7" fillId="0" borderId="0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Border="1" applyAlignment="1">
      <alignment horizontal="left"/>
    </xf>
    <xf numFmtId="2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0" fontId="1" fillId="0" borderId="57" xfId="0" applyFont="1" applyFill="1" applyBorder="1" applyAlignment="1"/>
    <xf numFmtId="0" fontId="1" fillId="0" borderId="57" xfId="0" applyFont="1" applyFill="1" applyBorder="1" applyAlignment="1">
      <alignment vertical="center"/>
    </xf>
    <xf numFmtId="0" fontId="7" fillId="0" borderId="55" xfId="0" applyFont="1" applyFill="1" applyBorder="1" applyAlignment="1"/>
    <xf numFmtId="0" fontId="1" fillId="0" borderId="58" xfId="0" applyFont="1" applyFill="1" applyBorder="1" applyAlignment="1"/>
    <xf numFmtId="1" fontId="5" fillId="0" borderId="60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8" xfId="0" applyNumberFormat="1" applyFont="1" applyFill="1" applyBorder="1"/>
    <xf numFmtId="1" fontId="0" fillId="0" borderId="0" xfId="0" applyNumberFormat="1"/>
    <xf numFmtId="1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 applyAlignment="1"/>
    <xf numFmtId="0" fontId="5" fillId="0" borderId="24" xfId="0" applyFont="1" applyFill="1" applyBorder="1"/>
    <xf numFmtId="0" fontId="7" fillId="0" borderId="55" xfId="0" applyFont="1" applyFill="1" applyBorder="1"/>
    <xf numFmtId="0" fontId="7" fillId="0" borderId="61" xfId="0" applyFont="1" applyFill="1" applyBorder="1"/>
    <xf numFmtId="0" fontId="7" fillId="0" borderId="55" xfId="0" applyNumberFormat="1" applyFont="1" applyFill="1" applyBorder="1" applyAlignment="1"/>
    <xf numFmtId="0" fontId="7" fillId="0" borderId="0" xfId="0" applyFont="1" applyFill="1"/>
    <xf numFmtId="0" fontId="3" fillId="0" borderId="55" xfId="0" applyFont="1" applyFill="1" applyBorder="1" applyAlignment="1"/>
    <xf numFmtId="0" fontId="7" fillId="0" borderId="61" xfId="0" applyFont="1" applyFill="1" applyBorder="1" applyAlignment="1"/>
    <xf numFmtId="0" fontId="5" fillId="0" borderId="63" xfId="0" applyFont="1" applyFill="1" applyBorder="1"/>
    <xf numFmtId="0" fontId="5" fillId="0" borderId="34" xfId="0" applyFont="1" applyFill="1" applyBorder="1"/>
    <xf numFmtId="1" fontId="5" fillId="0" borderId="13" xfId="0" applyNumberFormat="1" applyFont="1" applyBorder="1"/>
    <xf numFmtId="0" fontId="5" fillId="0" borderId="65" xfId="0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0" xfId="0" applyFont="1" applyBorder="1" applyAlignment="1">
      <alignment horizontal="left"/>
    </xf>
    <xf numFmtId="1" fontId="7" fillId="0" borderId="66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67" xfId="0" applyNumberFormat="1" applyFont="1" applyBorder="1" applyAlignment="1">
      <alignment horizontal="center" vertical="center"/>
    </xf>
    <xf numFmtId="0" fontId="7" fillId="0" borderId="66" xfId="0" applyFont="1" applyFill="1" applyBorder="1" applyAlignment="1"/>
    <xf numFmtId="2" fontId="7" fillId="0" borderId="3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0" fontId="1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16" xfId="0" applyNumberFormat="1" applyFont="1" applyFill="1" applyBorder="1"/>
    <xf numFmtId="1" fontId="5" fillId="4" borderId="16" xfId="0" applyNumberFormat="1" applyFont="1" applyFill="1" applyBorder="1"/>
    <xf numFmtId="1" fontId="7" fillId="0" borderId="18" xfId="0" applyNumberFormat="1" applyFont="1" applyFill="1" applyBorder="1"/>
    <xf numFmtId="1" fontId="5" fillId="0" borderId="60" xfId="0" applyNumberFormat="1" applyFont="1" applyFill="1" applyBorder="1"/>
    <xf numFmtId="1" fontId="5" fillId="0" borderId="17" xfId="0" applyNumberFormat="1" applyFont="1" applyFill="1" applyBorder="1"/>
    <xf numFmtId="1" fontId="5" fillId="0" borderId="59" xfId="0" applyNumberFormat="1" applyFont="1" applyFill="1" applyBorder="1"/>
    <xf numFmtId="2" fontId="7" fillId="0" borderId="40" xfId="0" applyNumberFormat="1" applyFont="1" applyBorder="1" applyAlignment="1">
      <alignment horizontal="center"/>
    </xf>
    <xf numFmtId="0" fontId="7" fillId="0" borderId="52" xfId="0" applyFont="1" applyBorder="1" applyAlignment="1">
      <alignment horizontal="left"/>
    </xf>
    <xf numFmtId="2" fontId="7" fillId="0" borderId="72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49" fontId="7" fillId="0" borderId="73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24" xfId="0" applyBorder="1"/>
    <xf numFmtId="1" fontId="7" fillId="7" borderId="14" xfId="0" applyNumberFormat="1" applyFont="1" applyFill="1" applyBorder="1"/>
    <xf numFmtId="0" fontId="1" fillId="0" borderId="2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1" fontId="5" fillId="0" borderId="77" xfId="0" applyNumberFormat="1" applyFont="1" applyFill="1" applyBorder="1" applyAlignment="1">
      <alignment horizontal="center"/>
    </xf>
    <xf numFmtId="1" fontId="5" fillId="0" borderId="77" xfId="0" applyNumberFormat="1" applyFont="1" applyBorder="1" applyAlignment="1">
      <alignment horizontal="center"/>
    </xf>
    <xf numFmtId="1" fontId="5" fillId="0" borderId="82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1" fontId="7" fillId="0" borderId="84" xfId="0" applyNumberFormat="1" applyFont="1" applyBorder="1" applyAlignment="1">
      <alignment horizontal="center"/>
    </xf>
    <xf numFmtId="1" fontId="3" fillId="0" borderId="83" xfId="0" applyNumberFormat="1" applyFont="1" applyBorder="1" applyAlignment="1">
      <alignment horizontal="center"/>
    </xf>
    <xf numFmtId="1" fontId="3" fillId="0" borderId="85" xfId="0" applyNumberFormat="1" applyFont="1" applyBorder="1" applyAlignment="1">
      <alignment horizontal="center"/>
    </xf>
    <xf numFmtId="1" fontId="5" fillId="0" borderId="82" xfId="0" applyNumberFormat="1" applyFont="1" applyBorder="1" applyAlignment="1">
      <alignment horizontal="center" vertical="center"/>
    </xf>
    <xf numFmtId="1" fontId="7" fillId="0" borderId="79" xfId="0" applyNumberFormat="1" applyFont="1" applyBorder="1" applyAlignment="1">
      <alignment horizontal="center"/>
    </xf>
    <xf numFmtId="1" fontId="7" fillId="0" borderId="85" xfId="0" applyNumberFormat="1" applyFont="1" applyBorder="1" applyAlignment="1">
      <alignment horizontal="center"/>
    </xf>
    <xf numFmtId="1" fontId="5" fillId="0" borderId="78" xfId="0" applyNumberFormat="1" applyFont="1" applyBorder="1" applyAlignment="1">
      <alignment horizontal="center"/>
    </xf>
    <xf numFmtId="1" fontId="7" fillId="0" borderId="80" xfId="0" applyNumberFormat="1" applyFont="1" applyBorder="1" applyAlignment="1">
      <alignment horizontal="center"/>
    </xf>
    <xf numFmtId="1" fontId="7" fillId="0" borderId="86" xfId="0" applyNumberFormat="1" applyFont="1" applyBorder="1" applyAlignment="1">
      <alignment horizontal="center"/>
    </xf>
    <xf numFmtId="1" fontId="7" fillId="7" borderId="59" xfId="0" applyNumberFormat="1" applyFont="1" applyFill="1" applyBorder="1"/>
    <xf numFmtId="1" fontId="5" fillId="7" borderId="17" xfId="0" applyNumberFormat="1" applyFont="1" applyFill="1" applyBorder="1"/>
    <xf numFmtId="0" fontId="7" fillId="0" borderId="87" xfId="0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1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76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/>
    </xf>
    <xf numFmtId="1" fontId="7" fillId="0" borderId="75" xfId="0" applyNumberFormat="1" applyFont="1" applyBorder="1" applyAlignment="1">
      <alignment horizontal="center"/>
    </xf>
    <xf numFmtId="0" fontId="7" fillId="7" borderId="33" xfId="0" applyFont="1" applyFill="1" applyBorder="1"/>
    <xf numFmtId="0" fontId="7" fillId="7" borderId="66" xfId="0" applyFont="1" applyFill="1" applyBorder="1"/>
    <xf numFmtId="0" fontId="8" fillId="0" borderId="29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5" fillId="7" borderId="93" xfId="0" applyFont="1" applyFill="1" applyBorder="1"/>
    <xf numFmtId="0" fontId="9" fillId="0" borderId="0" xfId="0" applyFont="1"/>
    <xf numFmtId="1" fontId="5" fillId="0" borderId="13" xfId="0" applyNumberFormat="1" applyFont="1" applyFill="1" applyBorder="1"/>
    <xf numFmtId="0" fontId="7" fillId="7" borderId="33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4" borderId="16" xfId="0" applyFont="1" applyFill="1" applyBorder="1" applyAlignment="1">
      <alignment horizontal="center" wrapText="1"/>
    </xf>
    <xf numFmtId="0" fontId="5" fillId="0" borderId="47" xfId="0" applyFont="1" applyFill="1" applyBorder="1"/>
    <xf numFmtId="0" fontId="1" fillId="7" borderId="67" xfId="0" applyNumberFormat="1" applyFont="1" applyFill="1" applyBorder="1" applyAlignment="1">
      <alignment horizontal="center" vertical="center"/>
    </xf>
    <xf numFmtId="0" fontId="5" fillId="7" borderId="90" xfId="0" applyFont="1" applyFill="1" applyBorder="1" applyAlignment="1">
      <alignment horizontal="left"/>
    </xf>
    <xf numFmtId="2" fontId="1" fillId="7" borderId="58" xfId="0" applyNumberFormat="1" applyFont="1" applyFill="1" applyBorder="1" applyAlignment="1">
      <alignment horizontal="center"/>
    </xf>
    <xf numFmtId="1" fontId="5" fillId="7" borderId="91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5" fillId="7" borderId="92" xfId="0" applyFont="1" applyFill="1" applyBorder="1"/>
    <xf numFmtId="0" fontId="5" fillId="7" borderId="45" xfId="0" applyFont="1" applyFill="1" applyBorder="1"/>
    <xf numFmtId="0" fontId="5" fillId="7" borderId="39" xfId="0" applyFont="1" applyFill="1" applyBorder="1"/>
    <xf numFmtId="49" fontId="7" fillId="7" borderId="88" xfId="0" applyNumberFormat="1" applyFont="1" applyFill="1" applyBorder="1" applyAlignment="1">
      <alignment horizontal="center" vertical="center"/>
    </xf>
    <xf numFmtId="0" fontId="7" fillId="7" borderId="89" xfId="0" applyFont="1" applyFill="1" applyBorder="1" applyAlignment="1">
      <alignment horizontal="left"/>
    </xf>
    <xf numFmtId="2" fontId="7" fillId="7" borderId="89" xfId="0" applyNumberFormat="1" applyFont="1" applyFill="1" applyBorder="1" applyAlignment="1">
      <alignment horizontal="center"/>
    </xf>
    <xf numFmtId="1" fontId="7" fillId="7" borderId="81" xfId="0" applyNumberFormat="1" applyFont="1" applyFill="1" applyBorder="1" applyAlignment="1">
      <alignment horizontal="center"/>
    </xf>
    <xf numFmtId="0" fontId="7" fillId="7" borderId="59" xfId="0" applyFont="1" applyFill="1" applyBorder="1" applyAlignment="1">
      <alignment horizontal="center"/>
    </xf>
    <xf numFmtId="0" fontId="7" fillId="7" borderId="69" xfId="0" applyFont="1" applyFill="1" applyBorder="1"/>
    <xf numFmtId="0" fontId="7" fillId="7" borderId="70" xfId="0" applyFont="1" applyFill="1" applyBorder="1"/>
    <xf numFmtId="0" fontId="7" fillId="7" borderId="0" xfId="0" applyFont="1" applyFill="1" applyBorder="1"/>
    <xf numFmtId="49" fontId="7" fillId="7" borderId="62" xfId="0" applyNumberFormat="1" applyFont="1" applyFill="1" applyBorder="1" applyAlignment="1">
      <alignment horizontal="center" vertical="center"/>
    </xf>
    <xf numFmtId="2" fontId="7" fillId="7" borderId="33" xfId="0" applyNumberFormat="1" applyFont="1" applyFill="1" applyBorder="1" applyAlignment="1">
      <alignment horizontal="center"/>
    </xf>
    <xf numFmtId="1" fontId="7" fillId="7" borderId="74" xfId="0" applyNumberFormat="1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46" xfId="0" applyFont="1" applyFill="1" applyBorder="1"/>
    <xf numFmtId="49" fontId="7" fillId="7" borderId="76" xfId="0" applyNumberFormat="1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left"/>
    </xf>
    <xf numFmtId="2" fontId="7" fillId="7" borderId="49" xfId="0" applyNumberFormat="1" applyFont="1" applyFill="1" applyBorder="1" applyAlignment="1">
      <alignment horizontal="center"/>
    </xf>
    <xf numFmtId="1" fontId="7" fillId="7" borderId="75" xfId="0" applyNumberFormat="1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94" xfId="0" applyFont="1" applyFill="1" applyBorder="1" applyAlignment="1"/>
    <xf numFmtId="0" fontId="5" fillId="0" borderId="64" xfId="0" applyFont="1" applyFill="1" applyBorder="1"/>
    <xf numFmtId="1" fontId="3" fillId="0" borderId="14" xfId="0" applyNumberFormat="1" applyFont="1" applyFill="1" applyBorder="1"/>
    <xf numFmtId="2" fontId="5" fillId="0" borderId="24" xfId="0" applyNumberFormat="1" applyFont="1" applyFill="1" applyBorder="1" applyAlignment="1">
      <alignment horizontal="center"/>
    </xf>
    <xf numFmtId="1" fontId="7" fillId="0" borderId="83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5" fillId="8" borderId="47" xfId="0" applyFont="1" applyFill="1" applyBorder="1"/>
    <xf numFmtId="0" fontId="5" fillId="8" borderId="44" xfId="0" applyFont="1" applyFill="1" applyBorder="1"/>
    <xf numFmtId="0" fontId="5" fillId="8" borderId="8" xfId="0" applyFont="1" applyFill="1" applyBorder="1"/>
    <xf numFmtId="0" fontId="5" fillId="8" borderId="65" xfId="0" applyFont="1" applyFill="1" applyBorder="1"/>
    <xf numFmtId="1" fontId="5" fillId="8" borderId="16" xfId="0" applyNumberFormat="1" applyFont="1" applyFill="1" applyBorder="1"/>
    <xf numFmtId="2" fontId="5" fillId="0" borderId="63" xfId="0" applyNumberFormat="1" applyFont="1" applyFill="1" applyBorder="1"/>
    <xf numFmtId="2" fontId="5" fillId="0" borderId="8" xfId="0" applyNumberFormat="1" applyFont="1" applyFill="1" applyBorder="1"/>
    <xf numFmtId="2" fontId="5" fillId="0" borderId="39" xfId="0" applyNumberFormat="1" applyFont="1" applyFill="1" applyBorder="1"/>
    <xf numFmtId="2" fontId="7" fillId="0" borderId="33" xfId="0" applyNumberFormat="1" applyFont="1" applyFill="1" applyBorder="1"/>
    <xf numFmtId="2" fontId="7" fillId="0" borderId="48" xfId="0" applyNumberFormat="1" applyFont="1" applyFill="1" applyBorder="1"/>
    <xf numFmtId="2" fontId="1" fillId="0" borderId="39" xfId="0" applyNumberFormat="1" applyFont="1" applyFill="1" applyBorder="1" applyAlignment="1"/>
    <xf numFmtId="2" fontId="7" fillId="0" borderId="33" xfId="0" applyNumberFormat="1" applyFont="1" applyFill="1" applyBorder="1" applyAlignment="1"/>
    <xf numFmtId="2" fontId="7" fillId="0" borderId="0" xfId="0" applyNumberFormat="1" applyFont="1" applyFill="1"/>
    <xf numFmtId="2" fontId="3" fillId="0" borderId="33" xfId="0" applyNumberFormat="1" applyFont="1" applyFill="1" applyBorder="1" applyAlignment="1"/>
    <xf numFmtId="2" fontId="7" fillId="0" borderId="48" xfId="0" applyNumberFormat="1" applyFont="1" applyFill="1" applyBorder="1" applyAlignment="1"/>
    <xf numFmtId="2" fontId="1" fillId="0" borderId="39" xfId="0" applyNumberFormat="1" applyFont="1" applyFill="1" applyBorder="1" applyAlignment="1">
      <alignment vertical="center"/>
    </xf>
    <xf numFmtId="2" fontId="7" fillId="0" borderId="46" xfId="0" applyNumberFormat="1" applyFont="1" applyFill="1" applyBorder="1" applyAlignment="1"/>
    <xf numFmtId="2" fontId="1" fillId="0" borderId="45" xfId="0" applyNumberFormat="1" applyFont="1" applyFill="1" applyBorder="1" applyAlignment="1"/>
    <xf numFmtId="2" fontId="8" fillId="0" borderId="8" xfId="0" applyNumberFormat="1" applyFont="1" applyFill="1" applyBorder="1" applyAlignment="1"/>
    <xf numFmtId="2" fontId="5" fillId="7" borderId="45" xfId="0" applyNumberFormat="1" applyFont="1" applyFill="1" applyBorder="1"/>
    <xf numFmtId="2" fontId="5" fillId="7" borderId="39" xfId="0" applyNumberFormat="1" applyFont="1" applyFill="1" applyBorder="1"/>
    <xf numFmtId="2" fontId="7" fillId="7" borderId="70" xfId="0" applyNumberFormat="1" applyFont="1" applyFill="1" applyBorder="1"/>
    <xf numFmtId="2" fontId="7" fillId="7" borderId="33" xfId="0" applyNumberFormat="1" applyFont="1" applyFill="1" applyBorder="1"/>
    <xf numFmtId="2" fontId="5" fillId="8" borderId="8" xfId="0" applyNumberFormat="1" applyFont="1" applyFill="1" applyBorder="1"/>
    <xf numFmtId="2" fontId="12" fillId="0" borderId="33" xfId="0" applyNumberFormat="1" applyFont="1" applyFill="1" applyBorder="1" applyAlignment="1"/>
    <xf numFmtId="2" fontId="15" fillId="0" borderId="0" xfId="0" applyNumberFormat="1" applyFont="1" applyFill="1"/>
    <xf numFmtId="1" fontId="8" fillId="0" borderId="14" xfId="0" applyNumberFormat="1" applyFont="1" applyFill="1" applyBorder="1"/>
    <xf numFmtId="0" fontId="16" fillId="0" borderId="55" xfId="0" applyFont="1" applyFill="1" applyBorder="1" applyAlignment="1"/>
    <xf numFmtId="164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5" fillId="3" borderId="6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T86" sqref="T86"/>
    </sheetView>
  </sheetViews>
  <sheetFormatPr defaultRowHeight="12.75" outlineLevelRow="2"/>
  <cols>
    <col min="1" max="1" width="6.7109375" bestFit="1" customWidth="1"/>
    <col min="2" max="2" width="79" customWidth="1"/>
    <col min="3" max="3" width="9" customWidth="1"/>
    <col min="4" max="4" width="8.7109375" customWidth="1"/>
    <col min="5" max="5" width="8.140625" customWidth="1"/>
    <col min="6" max="6" width="9.5703125" customWidth="1"/>
    <col min="7" max="7" width="10.5703125" customWidth="1"/>
    <col min="8" max="8" width="10.42578125" customWidth="1"/>
    <col min="9" max="9" width="10.28515625" customWidth="1"/>
    <col min="10" max="10" width="8" customWidth="1"/>
    <col min="11" max="11" width="9.140625" customWidth="1"/>
    <col min="12" max="13" width="9.7109375" customWidth="1"/>
    <col min="14" max="14" width="10.42578125" customWidth="1"/>
    <col min="15" max="16" width="9.5703125" bestFit="1" customWidth="1"/>
    <col min="17" max="17" width="9.85546875" customWidth="1"/>
    <col min="18" max="18" width="8.42578125" customWidth="1"/>
    <col min="19" max="19" width="9.7109375" customWidth="1"/>
  </cols>
  <sheetData>
    <row r="1" spans="1:21">
      <c r="A1" s="266" t="s">
        <v>0</v>
      </c>
      <c r="B1" s="266"/>
      <c r="C1" s="266"/>
      <c r="D1" s="266"/>
      <c r="E1" s="266"/>
    </row>
    <row r="2" spans="1:21" ht="13.5" thickBot="1">
      <c r="A2" s="266" t="s">
        <v>204</v>
      </c>
      <c r="B2" s="266"/>
      <c r="C2" s="266"/>
      <c r="D2" s="266"/>
      <c r="E2" s="266"/>
    </row>
    <row r="3" spans="1:21" ht="13.5" customHeight="1" thickBot="1">
      <c r="A3" s="267"/>
      <c r="B3" s="267"/>
      <c r="C3" s="267"/>
      <c r="D3" s="267"/>
      <c r="E3" s="267"/>
      <c r="F3" s="263" t="s">
        <v>208</v>
      </c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5"/>
      <c r="S3" s="196"/>
      <c r="T3" s="197"/>
      <c r="U3" s="197"/>
    </row>
    <row r="4" spans="1:21" ht="52.15" customHeight="1" thickBot="1">
      <c r="A4" s="9" t="s">
        <v>1</v>
      </c>
      <c r="B4" s="10" t="s">
        <v>2</v>
      </c>
      <c r="C4" s="13" t="s">
        <v>67</v>
      </c>
      <c r="D4" s="13" t="s">
        <v>3</v>
      </c>
      <c r="E4" s="20" t="s">
        <v>4</v>
      </c>
      <c r="F4" s="87" t="s">
        <v>198</v>
      </c>
      <c r="G4" s="85" t="s">
        <v>89</v>
      </c>
      <c r="H4" s="14" t="s">
        <v>32</v>
      </c>
      <c r="I4" s="15" t="s">
        <v>33</v>
      </c>
      <c r="J4" s="14" t="s">
        <v>34</v>
      </c>
      <c r="K4" s="15" t="s">
        <v>35</v>
      </c>
      <c r="L4" s="14" t="s">
        <v>36</v>
      </c>
      <c r="M4" s="15" t="s">
        <v>37</v>
      </c>
      <c r="N4" s="14" t="s">
        <v>38</v>
      </c>
      <c r="O4" s="15" t="s">
        <v>39</v>
      </c>
      <c r="P4" s="14" t="s">
        <v>40</v>
      </c>
      <c r="Q4" s="15" t="s">
        <v>41</v>
      </c>
      <c r="R4" s="22" t="s">
        <v>42</v>
      </c>
      <c r="S4" s="87" t="s">
        <v>209</v>
      </c>
      <c r="T4" s="198" t="s">
        <v>43</v>
      </c>
      <c r="U4" s="198" t="s">
        <v>44</v>
      </c>
    </row>
    <row r="5" spans="1:21" ht="13.5" thickBot="1">
      <c r="A5" s="26">
        <v>1</v>
      </c>
      <c r="B5" s="6" t="s">
        <v>106</v>
      </c>
      <c r="C5" s="36">
        <f>D5/D80</f>
        <v>5.8990106176798989</v>
      </c>
      <c r="D5" s="161">
        <f t="shared" ref="D5:D41" si="0">E5/12</f>
        <v>146961.16666666666</v>
      </c>
      <c r="E5" s="63">
        <v>1763534</v>
      </c>
      <c r="F5" s="122"/>
      <c r="G5" s="121">
        <f>45952+9165</f>
        <v>55117</v>
      </c>
      <c r="H5" s="121">
        <f>250+250+4872+51615+47915+24579+10361</f>
        <v>139842</v>
      </c>
      <c r="I5" s="121">
        <f>250+250+4872+49652+47915+23563+14861.08</f>
        <v>141363.07999999999</v>
      </c>
      <c r="J5" s="121">
        <f>250+250+9372.08+55130.5+3621.42+52895+62037.27+13982+53058.09</f>
        <v>250596.36</v>
      </c>
      <c r="K5" s="238">
        <f>62895+8857.82+10361+7218.01+250+250</f>
        <v>89831.83</v>
      </c>
      <c r="L5" s="238">
        <f>250+250+4642.08+4158.86+9976.68+54641.31+3739.12+13572+52722+6308.42+10361+4642.07+7830+500+9222.34</f>
        <v>182815.88</v>
      </c>
      <c r="M5" s="238">
        <f>250+250+4487.16+4872+46583.21+36007+8330+901.51+10500+10000</f>
        <v>122180.87999999999</v>
      </c>
      <c r="N5" s="238">
        <f>250+250+3918.82+52627+9488+10222+5825.18+870+870+870+870+870+870+870+500+870+10000+10500+4184.63+47489.36</f>
        <v>162214.99</v>
      </c>
      <c r="O5" s="238">
        <f>250+250+72548.14+15055+54983.34+30121.01-21750-7000</f>
        <v>144457.49</v>
      </c>
      <c r="P5" s="238">
        <f>250+250+18177.95+63227.71+18000+55000+4672.23</f>
        <v>159577.89000000001</v>
      </c>
      <c r="Q5" s="238">
        <f>250+250+2000+1500+3500+12609.94+27250.7+62917.57+5057.16+4737.52+24730+26131-7000</f>
        <v>163933.89000000001</v>
      </c>
      <c r="R5" s="121">
        <f>28879.1+57701.36+426.41+426.41+414.82+4432.19+8723.62+22532.73+33089.64+20051.89+46651.71+277.18</f>
        <v>223607.05999999997</v>
      </c>
      <c r="S5" s="122">
        <f>79.55+79.55</f>
        <v>159.1</v>
      </c>
      <c r="T5" s="123">
        <f>SUM(G5:S5)</f>
        <v>1835697.4500000002</v>
      </c>
      <c r="U5" s="193">
        <f>E5-T5</f>
        <v>-72163.450000000186</v>
      </c>
    </row>
    <row r="6" spans="1:21" ht="13.5" thickBot="1">
      <c r="A6" s="26">
        <v>2</v>
      </c>
      <c r="B6" s="6" t="s">
        <v>117</v>
      </c>
      <c r="C6" s="36">
        <f>D6/D80</f>
        <v>0.87304342939487056</v>
      </c>
      <c r="D6" s="161">
        <f t="shared" si="0"/>
        <v>21750</v>
      </c>
      <c r="E6" s="63">
        <v>261000</v>
      </c>
      <c r="F6" s="199"/>
      <c r="G6" s="94"/>
      <c r="H6" s="88">
        <f>21750</f>
        <v>21750</v>
      </c>
      <c r="I6" s="88">
        <v>21750</v>
      </c>
      <c r="J6" s="88">
        <f>21750+21750</f>
        <v>43500</v>
      </c>
      <c r="K6" s="239"/>
      <c r="L6" s="239">
        <v>21750</v>
      </c>
      <c r="M6" s="239">
        <v>21750</v>
      </c>
      <c r="N6" s="239">
        <v>21750</v>
      </c>
      <c r="O6" s="239">
        <v>21750</v>
      </c>
      <c r="P6" s="239">
        <v>21750</v>
      </c>
      <c r="Q6" s="239">
        <v>21750</v>
      </c>
      <c r="R6" s="88">
        <v>43500</v>
      </c>
      <c r="S6" s="124"/>
      <c r="T6" s="123">
        <f>SUM(G6:S6)</f>
        <v>261000</v>
      </c>
      <c r="U6" s="193">
        <f>E6-T6</f>
        <v>0</v>
      </c>
    </row>
    <row r="7" spans="1:21" ht="13.5" thickBot="1">
      <c r="A7" s="26">
        <v>3</v>
      </c>
      <c r="B7" s="6" t="s">
        <v>118</v>
      </c>
      <c r="C7" s="36">
        <f>D7/D80</f>
        <v>3.3232548664644956</v>
      </c>
      <c r="D7" s="161">
        <f>E7/12</f>
        <v>82791.75</v>
      </c>
      <c r="E7" s="63">
        <v>993501</v>
      </c>
      <c r="F7" s="114">
        <f>34087.88+292.88</f>
        <v>34380.759999999995</v>
      </c>
      <c r="G7" s="89"/>
      <c r="H7" s="89">
        <f>311.4+9215.7+4515.3+25197+39754</f>
        <v>78993.399999999994</v>
      </c>
      <c r="I7" s="89">
        <f>311.4+9215.7+11440+22087+39754</f>
        <v>82808.100000000006</v>
      </c>
      <c r="J7" s="88">
        <f>332.09+1345+9330.61+19280.17+22906+29684.39+123+23898</f>
        <v>106899.26</v>
      </c>
      <c r="K7" s="239">
        <f>316.39+4587.51+9926.64+42820.77+2143+2113</f>
        <v>61907.31</v>
      </c>
      <c r="L7" s="239">
        <f>402.79+5840.6+12130.39+27374+52327.13+1802</f>
        <v>99876.91</v>
      </c>
      <c r="M7" s="239">
        <f>353.06+10277.95+23387+44336.25+869</f>
        <v>79223.260000000009</v>
      </c>
      <c r="N7" s="239">
        <f>357.72+10306.29+10306.29+24410+44849.42+3698</f>
        <v>93927.72</v>
      </c>
      <c r="O7" s="239">
        <f>1573+32.86+52.12+132.85+315.39+353.22+5121.52+10281.81+21028+44352.92+75</f>
        <v>83318.69</v>
      </c>
      <c r="P7" s="239">
        <f>22124+16.72+306.25+4440.67+9302.37+39187.89+7905+2160</f>
        <v>85442.9</v>
      </c>
      <c r="Q7" s="239">
        <f>0.02+0.23+90.61+407.1+1884+5902.9+11655.95+26510+50280.57+339+708+6.41+42.53+42.53+61.6+595.47+595.47+862.4</f>
        <v>99984.790000000008</v>
      </c>
      <c r="R7" s="88">
        <f>405.93+5886.03+10351.29+22325+44652.6+725+886+0.13</f>
        <v>85231.98000000001</v>
      </c>
      <c r="S7" s="114">
        <v>75457.59</v>
      </c>
      <c r="T7" s="139">
        <f>SUM(G7:S7)</f>
        <v>1033071.9099999999</v>
      </c>
      <c r="U7" s="139">
        <f>E7-T7</f>
        <v>-39570.909999999916</v>
      </c>
    </row>
    <row r="8" spans="1:21" ht="13.5" thickBot="1">
      <c r="A8" s="26">
        <v>4</v>
      </c>
      <c r="B8" s="6" t="s">
        <v>105</v>
      </c>
      <c r="C8" s="36">
        <f>D8/D80</f>
        <v>0.50174909735337392</v>
      </c>
      <c r="D8" s="161">
        <f t="shared" si="0"/>
        <v>12500</v>
      </c>
      <c r="E8" s="63">
        <v>150000</v>
      </c>
      <c r="F8" s="114"/>
      <c r="G8" s="88">
        <f>206+425.4+650+737.1+12+1560+700+156+406+306+288.49+300+990.6+212+53.32+53.32+77.23+206+497.68+497.68+720.77+776.1+10843.14+1247.86</f>
        <v>21922.690000000002</v>
      </c>
      <c r="H8" s="88">
        <f>650+1033.5+241.8+306+473.83+557.7+698.1+156+307.44+156+50+551+551+666.9+798+12457.57+1458.49</f>
        <v>21113.33</v>
      </c>
      <c r="I8" s="88">
        <f>650+1033.5+454.87+670.8+106+6+741+156+307.44+106+53.32+53.32+77.23+497.68+497.68+682.5+720.77+13622.48+1554.08</f>
        <v>21990.67</v>
      </c>
      <c r="J8" s="88">
        <f>650+140.4+912.6+356+482.26+100+106+50+350.45+50+1060.8+106+36.73+36.73+53.2+514.27+514.27+744.8+12426.67+1503.38</f>
        <v>20194.560000000001</v>
      </c>
      <c r="K8" s="239">
        <f>650+516.8+250-516.8+106+920.4+106+100+53.32+53.32+77.23+497.68+497.68+720.77+9647.43+1603.49+525.66</f>
        <v>15808.98</v>
      </c>
      <c r="L8" s="239">
        <f>650+222.3+106+471.9+331.5+162+200+1463.33+206+351+106+256+471.9+2056+3286.57+1147.2+7388.01</f>
        <v>18875.71</v>
      </c>
      <c r="M8" s="239">
        <f>650+163.8+100+488.51+100+56+150+106+247.9+106+6+53.32+53.32+77.23+497.68+497.68+720.77+9648.38+2388.43</f>
        <v>16111.02</v>
      </c>
      <c r="N8" s="239">
        <f>650+237.9+454.44+50+518.7+6+6+50+318.38+200+53.32+53.32+77.23+497.68+497.68+720.77+8680.87</f>
        <v>13072.29</v>
      </c>
      <c r="O8" s="239">
        <f>650+459.7+50+97.78+36.73+36.73+53.2+514.27+514.27+744.8+8128.57+1895.79</f>
        <v>13181.84</v>
      </c>
      <c r="P8" s="239">
        <f>650+273+111.47+276.9+6+50+112.5+351+61.74+61.74+89.42+576.26+576.26+834.58+2033.15+8479.77</f>
        <v>14543.79</v>
      </c>
      <c r="Q8" s="239">
        <f>650+285.24+39+100+6+150+6+50+146.27+409.5+1920.45+7829.61</f>
        <v>11592.07</v>
      </c>
      <c r="R8" s="88">
        <f>650+150+6+200+334.7+6+197.4+448.5+550+61.74+61.74+89.42+576.26+576.26+834.58+2462.82+9486.3</f>
        <v>16691.72</v>
      </c>
      <c r="S8" s="114">
        <f>283.37+650</f>
        <v>933.37</v>
      </c>
      <c r="T8" s="139">
        <f t="shared" ref="T8:T18" si="1">SUM(G8:S8)</f>
        <v>206032.04</v>
      </c>
      <c r="U8" s="139">
        <f t="shared" ref="U8:U66" si="2">E8-T8</f>
        <v>-56032.040000000008</v>
      </c>
    </row>
    <row r="9" spans="1:21">
      <c r="A9" s="130">
        <v>5</v>
      </c>
      <c r="B9" s="7" t="s">
        <v>5</v>
      </c>
      <c r="C9" s="37">
        <f>D9/D80</f>
        <v>9.3659831505963131E-2</v>
      </c>
      <c r="D9" s="162">
        <f t="shared" si="0"/>
        <v>2333.3333333333335</v>
      </c>
      <c r="E9" s="64">
        <f>E10+E11</f>
        <v>28000</v>
      </c>
      <c r="F9" s="84">
        <f t="shared" ref="F9" si="3">SUM(F10:F11)</f>
        <v>0</v>
      </c>
      <c r="G9" s="84">
        <f>SUM(G10:G11)</f>
        <v>1671.92</v>
      </c>
      <c r="H9" s="84">
        <f>SUM(H10:H11)</f>
        <v>1917.9</v>
      </c>
      <c r="I9" s="84">
        <f>SUM(I10:I11)</f>
        <v>2330.08</v>
      </c>
      <c r="J9" s="84">
        <f t="shared" ref="J9:S9" si="4">SUM(J10:J11)</f>
        <v>1998.8</v>
      </c>
      <c r="K9" s="240">
        <f t="shared" si="4"/>
        <v>1829.98</v>
      </c>
      <c r="L9" s="240">
        <f t="shared" si="4"/>
        <v>1851.96</v>
      </c>
      <c r="M9" s="240">
        <f t="shared" si="4"/>
        <v>2454.5600000000004</v>
      </c>
      <c r="N9" s="240">
        <f t="shared" si="4"/>
        <v>2203.44</v>
      </c>
      <c r="O9" s="240">
        <f t="shared" si="4"/>
        <v>2657.19</v>
      </c>
      <c r="P9" s="240">
        <f t="shared" si="4"/>
        <v>2052.79</v>
      </c>
      <c r="Q9" s="240">
        <f t="shared" si="4"/>
        <v>3827.2</v>
      </c>
      <c r="R9" s="84">
        <f t="shared" si="4"/>
        <v>3477.85</v>
      </c>
      <c r="S9" s="84">
        <f t="shared" si="4"/>
        <v>111.6</v>
      </c>
      <c r="T9" s="24">
        <f t="shared" si="1"/>
        <v>28385.27</v>
      </c>
      <c r="U9" s="24">
        <f t="shared" si="2"/>
        <v>-385.27000000000044</v>
      </c>
    </row>
    <row r="10" spans="1:21" s="54" customFormat="1" ht="12" outlineLevel="1">
      <c r="A10" s="31" t="s">
        <v>45</v>
      </c>
      <c r="B10" s="43" t="s">
        <v>213</v>
      </c>
      <c r="C10" s="44">
        <f>D10/D80</f>
        <v>8.0279855576539827E-2</v>
      </c>
      <c r="D10" s="163">
        <f t="shared" si="0"/>
        <v>2000</v>
      </c>
      <c r="E10" s="47">
        <v>24000</v>
      </c>
      <c r="F10" s="115"/>
      <c r="G10" s="90">
        <v>1644.92</v>
      </c>
      <c r="H10" s="90">
        <v>1802.4</v>
      </c>
      <c r="I10" s="90">
        <f>15.48+1785.6</f>
        <v>1801.08</v>
      </c>
      <c r="J10" s="90">
        <f>11.16+1725.6</f>
        <v>1736.76</v>
      </c>
      <c r="K10" s="241">
        <f>39.18+1732.8</f>
        <v>1771.98</v>
      </c>
      <c r="L10" s="241">
        <f>66.96+1785</f>
        <v>1851.96</v>
      </c>
      <c r="M10" s="241">
        <f>5.16+1730.4</f>
        <v>1735.5600000000002</v>
      </c>
      <c r="N10" s="241">
        <f>27.9+1886.04</f>
        <v>1913.94</v>
      </c>
      <c r="O10" s="241">
        <f>19.02+1998.17</f>
        <v>2017.19</v>
      </c>
      <c r="P10" s="241">
        <f>2040.79</f>
        <v>2040.79</v>
      </c>
      <c r="Q10" s="241">
        <f>12.3+1704+2110.9</f>
        <v>3827.2</v>
      </c>
      <c r="R10" s="90">
        <f>5.58+1704+1768.27</f>
        <v>3477.85</v>
      </c>
      <c r="S10" s="115">
        <f>111.6</f>
        <v>111.6</v>
      </c>
      <c r="T10" s="53">
        <f t="shared" si="1"/>
        <v>25733.229999999996</v>
      </c>
      <c r="U10" s="53">
        <f t="shared" si="2"/>
        <v>-1733.2299999999959</v>
      </c>
    </row>
    <row r="11" spans="1:21" s="54" customFormat="1" outlineLevel="1" thickBot="1">
      <c r="A11" s="31" t="s">
        <v>46</v>
      </c>
      <c r="B11" s="50" t="s">
        <v>6</v>
      </c>
      <c r="C11" s="51">
        <f>D11/D80</f>
        <v>1.3379975929423303E-2</v>
      </c>
      <c r="D11" s="164">
        <f t="shared" si="0"/>
        <v>333.33333333333331</v>
      </c>
      <c r="E11" s="65">
        <v>4000</v>
      </c>
      <c r="F11" s="116"/>
      <c r="G11" s="91">
        <f>27</f>
        <v>27</v>
      </c>
      <c r="H11" s="91">
        <f>56.5+59</f>
        <v>115.5</v>
      </c>
      <c r="I11" s="91">
        <f>300+73.5+73.5+50+32</f>
        <v>529</v>
      </c>
      <c r="J11" s="91">
        <f>59+26+177.04</f>
        <v>262.03999999999996</v>
      </c>
      <c r="K11" s="242">
        <f>26+32</f>
        <v>58</v>
      </c>
      <c r="L11" s="242"/>
      <c r="M11" s="242">
        <f>65+390+264</f>
        <v>719</v>
      </c>
      <c r="N11" s="242">
        <f>88+88+60.5+53</f>
        <v>289.5</v>
      </c>
      <c r="O11" s="242">
        <v>640</v>
      </c>
      <c r="P11" s="242">
        <v>12</v>
      </c>
      <c r="Q11" s="242"/>
      <c r="R11" s="91"/>
      <c r="S11" s="116"/>
      <c r="T11" s="53">
        <f t="shared" si="1"/>
        <v>2652.04</v>
      </c>
      <c r="U11" s="66">
        <f t="shared" si="2"/>
        <v>1347.96</v>
      </c>
    </row>
    <row r="12" spans="1:21">
      <c r="A12" s="27" t="s">
        <v>107</v>
      </c>
      <c r="B12" s="7" t="s">
        <v>7</v>
      </c>
      <c r="C12" s="37">
        <f>D12/D80</f>
        <v>0.29101447646495687</v>
      </c>
      <c r="D12" s="162">
        <f t="shared" si="0"/>
        <v>7250</v>
      </c>
      <c r="E12" s="64">
        <f>E13+E14</f>
        <v>87000</v>
      </c>
      <c r="F12" s="68">
        <f t="shared" ref="F12" si="5">SUM(F13:F14)</f>
        <v>0</v>
      </c>
      <c r="G12" s="68">
        <f t="shared" ref="G12:S12" si="6">SUM(G13:G14)</f>
        <v>0</v>
      </c>
      <c r="H12" s="68">
        <f>SUM(H13:H14)</f>
        <v>7000</v>
      </c>
      <c r="I12" s="68">
        <f>SUM(I13:I14)</f>
        <v>7000</v>
      </c>
      <c r="J12" s="68">
        <f t="shared" si="6"/>
        <v>14000</v>
      </c>
      <c r="K12" s="243">
        <f t="shared" si="6"/>
        <v>0</v>
      </c>
      <c r="L12" s="243">
        <f t="shared" si="6"/>
        <v>7000</v>
      </c>
      <c r="M12" s="243">
        <f t="shared" si="6"/>
        <v>7000</v>
      </c>
      <c r="N12" s="243">
        <f t="shared" si="6"/>
        <v>7000</v>
      </c>
      <c r="O12" s="243">
        <f t="shared" si="6"/>
        <v>7000</v>
      </c>
      <c r="P12" s="243">
        <f t="shared" si="6"/>
        <v>7000</v>
      </c>
      <c r="Q12" s="243">
        <f t="shared" si="6"/>
        <v>7000</v>
      </c>
      <c r="R12" s="68">
        <f t="shared" si="6"/>
        <v>14000</v>
      </c>
      <c r="S12" s="68">
        <f t="shared" si="6"/>
        <v>0</v>
      </c>
      <c r="T12" s="24">
        <f t="shared" si="1"/>
        <v>84000</v>
      </c>
      <c r="U12" s="24">
        <f t="shared" si="2"/>
        <v>3000</v>
      </c>
    </row>
    <row r="13" spans="1:21" s="54" customFormat="1" ht="12" outlineLevel="1">
      <c r="A13" s="31" t="s">
        <v>131</v>
      </c>
      <c r="B13" s="67" t="s">
        <v>8</v>
      </c>
      <c r="C13" s="44">
        <f>D13/D80</f>
        <v>0.28097949451788939</v>
      </c>
      <c r="D13" s="231">
        <f t="shared" si="0"/>
        <v>7000</v>
      </c>
      <c r="E13" s="47">
        <v>84000</v>
      </c>
      <c r="F13" s="117"/>
      <c r="G13" s="69"/>
      <c r="H13" s="69">
        <v>7000</v>
      </c>
      <c r="I13" s="69">
        <v>7000</v>
      </c>
      <c r="J13" s="69">
        <f>5000+2000+5000+2000</f>
        <v>14000</v>
      </c>
      <c r="K13" s="244"/>
      <c r="L13" s="244">
        <f>5000+2000</f>
        <v>7000</v>
      </c>
      <c r="M13" s="244">
        <f>5000+2000</f>
        <v>7000</v>
      </c>
      <c r="N13" s="244">
        <f>5000+2000</f>
        <v>7000</v>
      </c>
      <c r="O13" s="244">
        <v>7000</v>
      </c>
      <c r="P13" s="244">
        <f>5000+2000</f>
        <v>7000</v>
      </c>
      <c r="Q13" s="244">
        <v>7000</v>
      </c>
      <c r="R13" s="69">
        <v>14000</v>
      </c>
      <c r="S13" s="117"/>
      <c r="T13" s="53">
        <f t="shared" si="1"/>
        <v>84000</v>
      </c>
      <c r="U13" s="53">
        <f t="shared" si="2"/>
        <v>0</v>
      </c>
    </row>
    <row r="14" spans="1:21" s="54" customFormat="1" outlineLevel="1" thickBot="1">
      <c r="A14" s="31" t="s">
        <v>132</v>
      </c>
      <c r="B14" s="43" t="s">
        <v>9</v>
      </c>
      <c r="C14" s="44">
        <f>D14/D80</f>
        <v>1.0034981947067478E-2</v>
      </c>
      <c r="D14" s="163">
        <f t="shared" si="0"/>
        <v>250</v>
      </c>
      <c r="E14" s="47">
        <v>3000</v>
      </c>
      <c r="F14" s="69"/>
      <c r="G14" s="69"/>
      <c r="H14" s="69"/>
      <c r="I14" s="69"/>
      <c r="J14" s="69"/>
      <c r="K14" s="244"/>
      <c r="L14" s="244"/>
      <c r="M14" s="244"/>
      <c r="N14" s="244"/>
      <c r="O14" s="244"/>
      <c r="P14" s="244"/>
      <c r="Q14" s="244"/>
      <c r="R14" s="69"/>
      <c r="S14" s="69"/>
      <c r="T14" s="52">
        <f t="shared" si="1"/>
        <v>0</v>
      </c>
      <c r="U14" s="53">
        <f t="shared" si="2"/>
        <v>3000</v>
      </c>
    </row>
    <row r="15" spans="1:21" ht="13.5" thickBot="1">
      <c r="A15" s="28" t="s">
        <v>108</v>
      </c>
      <c r="B15" s="6" t="s">
        <v>11</v>
      </c>
      <c r="C15" s="36">
        <f>D15/D80</f>
        <v>7.3589867611828161E-2</v>
      </c>
      <c r="D15" s="161">
        <f t="shared" si="0"/>
        <v>1833.3333333333333</v>
      </c>
      <c r="E15" s="63">
        <v>22000</v>
      </c>
      <c r="F15" s="199"/>
      <c r="G15" s="94"/>
      <c r="H15" s="88"/>
      <c r="I15" s="88"/>
      <c r="J15" s="88"/>
      <c r="K15" s="239"/>
      <c r="L15" s="239"/>
      <c r="M15" s="239">
        <f>24200+2264</f>
        <v>26464</v>
      </c>
      <c r="N15" s="239"/>
      <c r="O15" s="239"/>
      <c r="P15" s="239"/>
      <c r="Q15" s="239"/>
      <c r="R15" s="88"/>
      <c r="S15" s="124"/>
      <c r="T15" s="23">
        <f>SUM(G15:S15)</f>
        <v>26464</v>
      </c>
      <c r="U15" s="23">
        <f t="shared" si="2"/>
        <v>-4464</v>
      </c>
    </row>
    <row r="16" spans="1:21">
      <c r="A16" s="27" t="s">
        <v>109</v>
      </c>
      <c r="B16" s="7" t="s">
        <v>69</v>
      </c>
      <c r="C16" s="37">
        <f>D16/D80</f>
        <v>0.23615657515432129</v>
      </c>
      <c r="D16" s="162">
        <f t="shared" si="0"/>
        <v>5883.333333333333</v>
      </c>
      <c r="E16" s="64">
        <f>SUM(E17:E19)</f>
        <v>70600</v>
      </c>
      <c r="F16" s="103">
        <f t="shared" ref="F16" si="7">SUM(F17:F19)</f>
        <v>0</v>
      </c>
      <c r="G16" s="70">
        <f t="shared" ref="G16:S16" si="8">SUM(G17:G19)</f>
        <v>28966.97</v>
      </c>
      <c r="H16" s="70">
        <f t="shared" si="8"/>
        <v>4937.8</v>
      </c>
      <c r="I16" s="70">
        <f t="shared" si="8"/>
        <v>1588</v>
      </c>
      <c r="J16" s="70">
        <f t="shared" si="8"/>
        <v>1500</v>
      </c>
      <c r="K16" s="243">
        <f t="shared" si="8"/>
        <v>7985.99</v>
      </c>
      <c r="L16" s="243">
        <f t="shared" si="8"/>
        <v>0</v>
      </c>
      <c r="M16" s="70">
        <f t="shared" si="8"/>
        <v>1499</v>
      </c>
      <c r="N16" s="243">
        <f>SUM(N17:N19)</f>
        <v>23690.98</v>
      </c>
      <c r="O16" s="243">
        <f t="shared" si="8"/>
        <v>0</v>
      </c>
      <c r="P16" s="243">
        <f t="shared" si="8"/>
        <v>1900</v>
      </c>
      <c r="Q16" s="243">
        <f t="shared" si="8"/>
        <v>5200</v>
      </c>
      <c r="R16" s="70">
        <f t="shared" si="8"/>
        <v>9885.73</v>
      </c>
      <c r="S16" s="103">
        <f t="shared" si="8"/>
        <v>0</v>
      </c>
      <c r="T16" s="24">
        <f t="shared" si="1"/>
        <v>87154.47</v>
      </c>
      <c r="U16" s="24">
        <f t="shared" si="2"/>
        <v>-16554.47</v>
      </c>
    </row>
    <row r="17" spans="1:21" s="54" customFormat="1" ht="12.75" customHeight="1" outlineLevel="1">
      <c r="A17" s="31" t="s">
        <v>47</v>
      </c>
      <c r="B17" s="43" t="s">
        <v>88</v>
      </c>
      <c r="C17" s="44">
        <f>D17/D80</f>
        <v>8.3624849558895653E-2</v>
      </c>
      <c r="D17" s="163">
        <f t="shared" si="0"/>
        <v>2083.3333333333335</v>
      </c>
      <c r="E17" s="47">
        <v>25000</v>
      </c>
      <c r="F17" s="105"/>
      <c r="G17" s="72">
        <v>1186.95</v>
      </c>
      <c r="H17" s="72">
        <f>3337.8</f>
        <v>3337.8</v>
      </c>
      <c r="I17" s="72">
        <f>24+265</f>
        <v>289</v>
      </c>
      <c r="J17" s="72"/>
      <c r="K17" s="244">
        <f>3600+4385.99</f>
        <v>7985.99</v>
      </c>
      <c r="L17" s="244"/>
      <c r="M17" s="244"/>
      <c r="N17" s="244">
        <f>3600+5000+5590.98</f>
        <v>14190.98</v>
      </c>
      <c r="O17" s="244"/>
      <c r="P17" s="244"/>
      <c r="Q17" s="244"/>
      <c r="R17" s="72">
        <f>3600+5485.73</f>
        <v>9085.73</v>
      </c>
      <c r="S17" s="105"/>
      <c r="T17" s="53">
        <f t="shared" si="1"/>
        <v>36076.449999999997</v>
      </c>
      <c r="U17" s="53">
        <f t="shared" si="2"/>
        <v>-11076.449999999997</v>
      </c>
    </row>
    <row r="18" spans="1:21" s="54" customFormat="1" ht="12" outlineLevel="1">
      <c r="A18" s="31" t="s">
        <v>48</v>
      </c>
      <c r="B18" s="43" t="s">
        <v>72</v>
      </c>
      <c r="C18" s="44">
        <f>D18/D80</f>
        <v>3.3449939823558261E-2</v>
      </c>
      <c r="D18" s="163">
        <f t="shared" si="0"/>
        <v>833.33333333333337</v>
      </c>
      <c r="E18" s="47">
        <v>10000</v>
      </c>
      <c r="F18" s="105"/>
      <c r="G18" s="72">
        <v>1500</v>
      </c>
      <c r="H18" s="72">
        <v>1600</v>
      </c>
      <c r="I18" s="72"/>
      <c r="J18" s="72">
        <f>1500</f>
        <v>1500</v>
      </c>
      <c r="K18" s="244"/>
      <c r="L18" s="244"/>
      <c r="M18" s="245"/>
      <c r="N18" s="244">
        <v>1400</v>
      </c>
      <c r="O18" s="244"/>
      <c r="P18" s="244"/>
      <c r="Q18" s="244">
        <v>800</v>
      </c>
      <c r="R18" s="72">
        <v>800</v>
      </c>
      <c r="S18" s="105"/>
      <c r="T18" s="53">
        <f t="shared" si="1"/>
        <v>7600</v>
      </c>
      <c r="U18" s="53">
        <f t="shared" si="2"/>
        <v>2400</v>
      </c>
    </row>
    <row r="19" spans="1:21" s="54" customFormat="1" ht="12" outlineLevel="1">
      <c r="A19" s="31" t="s">
        <v>49</v>
      </c>
      <c r="B19" s="43" t="s">
        <v>68</v>
      </c>
      <c r="C19" s="44">
        <f>D19/D80</f>
        <v>0.1190817857718674</v>
      </c>
      <c r="D19" s="163">
        <f t="shared" si="0"/>
        <v>2966.6666666666665</v>
      </c>
      <c r="E19" s="47">
        <f t="shared" ref="E19:S19" si="9">SUM(E20:E22)</f>
        <v>35600</v>
      </c>
      <c r="F19" s="72"/>
      <c r="G19" s="72">
        <f t="shared" si="9"/>
        <v>26280.02</v>
      </c>
      <c r="H19" s="72">
        <f t="shared" si="9"/>
        <v>0</v>
      </c>
      <c r="I19" s="72">
        <f t="shared" si="9"/>
        <v>1299</v>
      </c>
      <c r="J19" s="72">
        <f t="shared" si="9"/>
        <v>0</v>
      </c>
      <c r="K19" s="244">
        <f t="shared" si="9"/>
        <v>0</v>
      </c>
      <c r="L19" s="244">
        <f t="shared" si="9"/>
        <v>0</v>
      </c>
      <c r="M19" s="244">
        <f t="shared" si="9"/>
        <v>1499</v>
      </c>
      <c r="N19" s="244">
        <f t="shared" si="9"/>
        <v>8100</v>
      </c>
      <c r="O19" s="244">
        <f t="shared" si="9"/>
        <v>0</v>
      </c>
      <c r="P19" s="244">
        <f t="shared" si="9"/>
        <v>1900</v>
      </c>
      <c r="Q19" s="244">
        <f t="shared" si="9"/>
        <v>4400</v>
      </c>
      <c r="R19" s="72">
        <f t="shared" si="9"/>
        <v>0</v>
      </c>
      <c r="S19" s="72">
        <f t="shared" si="9"/>
        <v>0</v>
      </c>
      <c r="T19" s="53">
        <f>SUM(F19:S19)</f>
        <v>43478.020000000004</v>
      </c>
      <c r="U19" s="126">
        <f t="shared" si="2"/>
        <v>-7878.0200000000041</v>
      </c>
    </row>
    <row r="20" spans="1:21" s="12" customFormat="1" ht="11.25" outlineLevel="2">
      <c r="A20" s="29" t="s">
        <v>135</v>
      </c>
      <c r="B20" s="3" t="s">
        <v>188</v>
      </c>
      <c r="C20" s="38">
        <f>D20/D80</f>
        <v>4.4153920567096905E-3</v>
      </c>
      <c r="D20" s="165">
        <f t="shared" si="0"/>
        <v>110</v>
      </c>
      <c r="E20" s="78">
        <v>1320</v>
      </c>
      <c r="F20" s="119"/>
      <c r="G20" s="92"/>
      <c r="H20" s="92"/>
      <c r="I20" s="92">
        <v>1299</v>
      </c>
      <c r="J20" s="92"/>
      <c r="K20" s="246"/>
      <c r="L20" s="246"/>
      <c r="M20" s="246"/>
      <c r="N20" s="246"/>
      <c r="O20" s="246"/>
      <c r="P20" s="246"/>
      <c r="Q20" s="246"/>
      <c r="R20" s="92"/>
      <c r="S20" s="119"/>
      <c r="T20" s="21">
        <f t="shared" ref="T20:T24" si="10">SUM(G20:S20)</f>
        <v>1299</v>
      </c>
      <c r="U20" s="21">
        <f t="shared" si="2"/>
        <v>21</v>
      </c>
    </row>
    <row r="21" spans="1:21" s="12" customFormat="1" ht="11.25" outlineLevel="2">
      <c r="A21" s="29" t="s">
        <v>136</v>
      </c>
      <c r="B21" s="73" t="s">
        <v>165</v>
      </c>
      <c r="C21" s="38">
        <f>D21/D80</f>
        <v>8.7906441856311107E-2</v>
      </c>
      <c r="D21" s="166">
        <f t="shared" si="0"/>
        <v>2190</v>
      </c>
      <c r="E21" s="80">
        <v>26280</v>
      </c>
      <c r="F21" s="119"/>
      <c r="G21" s="92">
        <f>26280.02</f>
        <v>26280.02</v>
      </c>
      <c r="H21" s="92"/>
      <c r="I21" s="92"/>
      <c r="J21" s="92"/>
      <c r="K21" s="246"/>
      <c r="L21" s="246"/>
      <c r="M21" s="246"/>
      <c r="N21" s="257">
        <v>8100</v>
      </c>
      <c r="O21" s="246"/>
      <c r="P21" s="246"/>
      <c r="Q21" s="246">
        <v>4400</v>
      </c>
      <c r="R21" s="92"/>
      <c r="S21" s="119"/>
      <c r="T21" s="229">
        <f t="shared" si="10"/>
        <v>38780.020000000004</v>
      </c>
      <c r="U21" s="21">
        <f t="shared" si="2"/>
        <v>-12500.020000000004</v>
      </c>
    </row>
    <row r="22" spans="1:21" s="12" customFormat="1" ht="12" outlineLevel="2" thickBot="1">
      <c r="A22" s="29" t="s">
        <v>137</v>
      </c>
      <c r="B22" s="73" t="s">
        <v>93</v>
      </c>
      <c r="C22" s="38">
        <f>D22/D80</f>
        <v>2.6759951858846606E-2</v>
      </c>
      <c r="D22" s="166">
        <f t="shared" si="0"/>
        <v>666.66666666666663</v>
      </c>
      <c r="E22" s="80">
        <v>8000</v>
      </c>
      <c r="F22" s="119"/>
      <c r="G22" s="92"/>
      <c r="H22" s="92"/>
      <c r="I22" s="92"/>
      <c r="J22" s="92"/>
      <c r="K22" s="246"/>
      <c r="L22" s="246"/>
      <c r="M22" s="246">
        <f>1499</f>
        <v>1499</v>
      </c>
      <c r="N22" s="246"/>
      <c r="O22" s="246"/>
      <c r="P22" s="246">
        <v>1900</v>
      </c>
      <c r="Q22" s="246"/>
      <c r="R22" s="92"/>
      <c r="S22" s="119"/>
      <c r="T22" s="21">
        <f t="shared" si="10"/>
        <v>3399</v>
      </c>
      <c r="U22" s="21">
        <f t="shared" si="2"/>
        <v>4601</v>
      </c>
    </row>
    <row r="23" spans="1:21">
      <c r="A23" s="27" t="s">
        <v>110</v>
      </c>
      <c r="B23" s="7" t="s">
        <v>12</v>
      </c>
      <c r="C23" s="37">
        <f>D23/D80</f>
        <v>0.10871230442656435</v>
      </c>
      <c r="D23" s="162">
        <f t="shared" si="0"/>
        <v>2708.3333333333335</v>
      </c>
      <c r="E23" s="64">
        <f>SUM(E24:E27)</f>
        <v>32500</v>
      </c>
      <c r="F23" s="103">
        <f t="shared" ref="F23" si="11">SUM(F24:F27)</f>
        <v>0</v>
      </c>
      <c r="G23" s="70">
        <f t="shared" ref="G23:S23" si="12">SUM(G24:G27)</f>
        <v>3160.62</v>
      </c>
      <c r="H23" s="70">
        <f t="shared" si="12"/>
        <v>6170</v>
      </c>
      <c r="I23" s="70">
        <f>SUM(I24:I27)</f>
        <v>580</v>
      </c>
      <c r="J23" s="70">
        <f t="shared" si="12"/>
        <v>699.47</v>
      </c>
      <c r="K23" s="243">
        <f t="shared" si="12"/>
        <v>2884</v>
      </c>
      <c r="L23" s="243">
        <f t="shared" si="12"/>
        <v>200</v>
      </c>
      <c r="M23" s="243">
        <f t="shared" si="12"/>
        <v>6165.88</v>
      </c>
      <c r="N23" s="243">
        <f>SUM(N24:N27)</f>
        <v>2180</v>
      </c>
      <c r="O23" s="243">
        <f t="shared" si="12"/>
        <v>1650</v>
      </c>
      <c r="P23" s="243">
        <f t="shared" si="12"/>
        <v>4045</v>
      </c>
      <c r="Q23" s="243">
        <f t="shared" si="12"/>
        <v>3618.87</v>
      </c>
      <c r="R23" s="70">
        <f t="shared" si="12"/>
        <v>3655.31</v>
      </c>
      <c r="S23" s="103">
        <f t="shared" si="12"/>
        <v>0</v>
      </c>
      <c r="T23" s="24">
        <f t="shared" si="10"/>
        <v>35009.149999999994</v>
      </c>
      <c r="U23" s="24">
        <f t="shared" si="2"/>
        <v>-2509.1499999999942</v>
      </c>
    </row>
    <row r="24" spans="1:21" s="54" customFormat="1" ht="12" outlineLevel="1">
      <c r="A24" s="31" t="s">
        <v>50</v>
      </c>
      <c r="B24" s="43" t="s">
        <v>180</v>
      </c>
      <c r="C24" s="44">
        <f>D24/D80</f>
        <v>8.3624849558895653E-2</v>
      </c>
      <c r="D24" s="163">
        <f t="shared" si="0"/>
        <v>2083.3333333333335</v>
      </c>
      <c r="E24" s="47">
        <v>25000</v>
      </c>
      <c r="F24" s="105"/>
      <c r="G24" s="72">
        <f>2535.62+50+250+325</f>
        <v>3160.62</v>
      </c>
      <c r="H24" s="72">
        <v>6170</v>
      </c>
      <c r="I24" s="72">
        <f>340+240</f>
        <v>580</v>
      </c>
      <c r="J24" s="72"/>
      <c r="K24" s="244">
        <f>185+75</f>
        <v>260</v>
      </c>
      <c r="L24" s="244"/>
      <c r="M24" s="244"/>
      <c r="N24" s="244">
        <f>1500</f>
        <v>1500</v>
      </c>
      <c r="O24" s="244">
        <v>420</v>
      </c>
      <c r="P24" s="244">
        <v>1430</v>
      </c>
      <c r="Q24" s="244">
        <v>2129</v>
      </c>
      <c r="R24" s="72">
        <v>3455.31</v>
      </c>
      <c r="S24" s="105"/>
      <c r="T24" s="53">
        <f t="shared" si="10"/>
        <v>19104.93</v>
      </c>
      <c r="U24" s="126">
        <f t="shared" si="2"/>
        <v>5895.07</v>
      </c>
    </row>
    <row r="25" spans="1:21" s="54" customFormat="1" ht="12" outlineLevel="1">
      <c r="A25" s="31" t="s">
        <v>51</v>
      </c>
      <c r="B25" s="43" t="s">
        <v>15</v>
      </c>
      <c r="C25" s="44">
        <f>D25/D80</f>
        <v>1.6724969911779131E-2</v>
      </c>
      <c r="D25" s="163">
        <f t="shared" si="0"/>
        <v>416.66666666666669</v>
      </c>
      <c r="E25" s="47">
        <v>5000</v>
      </c>
      <c r="F25" s="105"/>
      <c r="G25" s="72"/>
      <c r="H25" s="72"/>
      <c r="I25" s="72"/>
      <c r="J25" s="72">
        <f>500+199.47</f>
        <v>699.47</v>
      </c>
      <c r="K25" s="244">
        <f>500+200+395+69+217+311+126</f>
        <v>1818</v>
      </c>
      <c r="L25" s="244">
        <v>200</v>
      </c>
      <c r="M25" s="244">
        <f>480+50+199.7</f>
        <v>729.7</v>
      </c>
      <c r="N25" s="244">
        <f>180+500</f>
        <v>680</v>
      </c>
      <c r="O25" s="244">
        <v>760</v>
      </c>
      <c r="P25" s="244">
        <v>200</v>
      </c>
      <c r="Q25" s="244">
        <v>199.87</v>
      </c>
      <c r="R25" s="72">
        <v>200</v>
      </c>
      <c r="S25" s="105"/>
      <c r="T25" s="53">
        <f t="shared" ref="T25:T67" si="13">SUM(G25:S25)</f>
        <v>5487.04</v>
      </c>
      <c r="U25" s="53">
        <f t="shared" si="2"/>
        <v>-487.03999999999996</v>
      </c>
    </row>
    <row r="26" spans="1:21" s="54" customFormat="1" ht="12" outlineLevel="1">
      <c r="A26" s="31" t="s">
        <v>52</v>
      </c>
      <c r="B26" s="43" t="s">
        <v>181</v>
      </c>
      <c r="C26" s="44">
        <f>D26/D80</f>
        <v>8.3624849558895653E-3</v>
      </c>
      <c r="D26" s="163">
        <f t="shared" si="0"/>
        <v>208.33333333333334</v>
      </c>
      <c r="E26" s="47">
        <v>2500</v>
      </c>
      <c r="F26" s="105"/>
      <c r="G26" s="72"/>
      <c r="H26" s="72"/>
      <c r="I26" s="72"/>
      <c r="J26" s="72"/>
      <c r="K26" s="244">
        <f>67+214+125+400</f>
        <v>806</v>
      </c>
      <c r="L26" s="244"/>
      <c r="M26" s="244">
        <f>1328.18+93+215+1675+710+300+355+250+110+400</f>
        <v>5436.18</v>
      </c>
      <c r="N26" s="244"/>
      <c r="O26" s="244">
        <f>379+91</f>
        <v>470</v>
      </c>
      <c r="P26" s="244">
        <v>2415</v>
      </c>
      <c r="Q26" s="244">
        <v>1290</v>
      </c>
      <c r="R26" s="72"/>
      <c r="S26" s="105"/>
      <c r="T26" s="53">
        <f t="shared" si="13"/>
        <v>10417.18</v>
      </c>
      <c r="U26" s="53">
        <f t="shared" si="2"/>
        <v>-7917.18</v>
      </c>
    </row>
    <row r="27" spans="1:21" s="54" customFormat="1" outlineLevel="1" thickBot="1">
      <c r="A27" s="32" t="s">
        <v>53</v>
      </c>
      <c r="B27" s="50" t="s">
        <v>84</v>
      </c>
      <c r="C27" s="51">
        <f>D27/D80</f>
        <v>0</v>
      </c>
      <c r="D27" s="164">
        <f t="shared" si="0"/>
        <v>0</v>
      </c>
      <c r="E27" s="65">
        <v>0</v>
      </c>
      <c r="F27" s="120"/>
      <c r="G27" s="93"/>
      <c r="H27" s="118"/>
      <c r="I27" s="93"/>
      <c r="J27" s="93"/>
      <c r="K27" s="247"/>
      <c r="L27" s="247"/>
      <c r="M27" s="247"/>
      <c r="N27" s="247"/>
      <c r="O27" s="247"/>
      <c r="P27" s="247"/>
      <c r="Q27" s="247"/>
      <c r="R27" s="93"/>
      <c r="S27" s="120"/>
      <c r="T27" s="66">
        <f t="shared" si="13"/>
        <v>0</v>
      </c>
      <c r="U27" s="66">
        <f t="shared" si="2"/>
        <v>0</v>
      </c>
    </row>
    <row r="28" spans="1:21" ht="27" customHeight="1">
      <c r="A28" s="27" t="s">
        <v>111</v>
      </c>
      <c r="B28" s="8" t="s">
        <v>17</v>
      </c>
      <c r="C28" s="41">
        <f>D28/D80</f>
        <v>1.2797946976493391</v>
      </c>
      <c r="D28" s="167">
        <f t="shared" si="0"/>
        <v>31883.333333333332</v>
      </c>
      <c r="E28" s="81">
        <f>SUM(E29:E42)</f>
        <v>382600</v>
      </c>
      <c r="F28" s="104">
        <f t="shared" ref="F28" si="14">SUM(F29:F42)</f>
        <v>10200</v>
      </c>
      <c r="G28" s="71">
        <f t="shared" ref="G28:S28" si="15">SUM(G29:G42)</f>
        <v>2875</v>
      </c>
      <c r="H28" s="71">
        <f t="shared" si="15"/>
        <v>6600</v>
      </c>
      <c r="I28" s="71">
        <f>SUM(I29:I42)</f>
        <v>9400</v>
      </c>
      <c r="J28" s="71">
        <f t="shared" si="15"/>
        <v>42635</v>
      </c>
      <c r="K28" s="248">
        <f t="shared" si="15"/>
        <v>13781.619999999999</v>
      </c>
      <c r="L28" s="248">
        <f t="shared" si="15"/>
        <v>65508</v>
      </c>
      <c r="M28" s="248">
        <f t="shared" si="15"/>
        <v>14241.66</v>
      </c>
      <c r="N28" s="248">
        <f t="shared" si="15"/>
        <v>14910</v>
      </c>
      <c r="O28" s="248">
        <f t="shared" si="15"/>
        <v>54150</v>
      </c>
      <c r="P28" s="248">
        <f t="shared" si="15"/>
        <v>47887.839999999997</v>
      </c>
      <c r="Q28" s="248">
        <f t="shared" si="15"/>
        <v>16966</v>
      </c>
      <c r="R28" s="71">
        <f t="shared" si="15"/>
        <v>21273.84</v>
      </c>
      <c r="S28" s="104">
        <f t="shared" si="15"/>
        <v>5800</v>
      </c>
      <c r="T28" s="107">
        <f t="shared" si="13"/>
        <v>316028.96000000002</v>
      </c>
      <c r="U28" s="108">
        <f t="shared" si="2"/>
        <v>66571.039999999979</v>
      </c>
    </row>
    <row r="29" spans="1:21" s="54" customFormat="1" ht="12" outlineLevel="1">
      <c r="A29" s="31" t="s">
        <v>56</v>
      </c>
      <c r="B29" s="43" t="s">
        <v>200</v>
      </c>
      <c r="C29" s="44">
        <f>D29/D80</f>
        <v>8.0279855576539827E-2</v>
      </c>
      <c r="D29" s="163">
        <f t="shared" si="0"/>
        <v>2000</v>
      </c>
      <c r="E29" s="47">
        <v>24000</v>
      </c>
      <c r="F29" s="105"/>
      <c r="G29" s="72"/>
      <c r="H29" s="72"/>
      <c r="I29" s="72"/>
      <c r="J29" s="72"/>
      <c r="K29" s="244"/>
      <c r="L29" s="244"/>
      <c r="M29" s="244"/>
      <c r="N29" s="244"/>
      <c r="O29" s="244"/>
      <c r="P29" s="244">
        <v>770.84</v>
      </c>
      <c r="Q29" s="244"/>
      <c r="R29" s="72">
        <v>770.84</v>
      </c>
      <c r="S29" s="105"/>
      <c r="T29" s="53">
        <f t="shared" si="13"/>
        <v>1541.68</v>
      </c>
      <c r="U29" s="53">
        <f t="shared" si="2"/>
        <v>22458.32</v>
      </c>
    </row>
    <row r="30" spans="1:21" s="54" customFormat="1" ht="12" outlineLevel="1">
      <c r="A30" s="31" t="s">
        <v>57</v>
      </c>
      <c r="B30" s="76" t="s">
        <v>199</v>
      </c>
      <c r="C30" s="44">
        <f>D30/D80</f>
        <v>0.20069963894134957</v>
      </c>
      <c r="D30" s="163">
        <f t="shared" si="0"/>
        <v>5000</v>
      </c>
      <c r="E30" s="47">
        <v>60000</v>
      </c>
      <c r="F30" s="105"/>
      <c r="G30" s="72">
        <f>2875</f>
        <v>2875</v>
      </c>
      <c r="H30" s="72"/>
      <c r="I30" s="72">
        <v>5000</v>
      </c>
      <c r="J30" s="72">
        <v>5000</v>
      </c>
      <c r="K30" s="244">
        <v>5000</v>
      </c>
      <c r="L30" s="244">
        <v>5000</v>
      </c>
      <c r="M30" s="244">
        <v>5000</v>
      </c>
      <c r="N30" s="244">
        <v>5000</v>
      </c>
      <c r="O30" s="244">
        <f>5000+5000</f>
        <v>10000</v>
      </c>
      <c r="P30" s="244"/>
      <c r="Q30" s="244">
        <f>5000</f>
        <v>5000</v>
      </c>
      <c r="R30" s="72">
        <v>5000</v>
      </c>
      <c r="S30" s="105">
        <v>5000</v>
      </c>
      <c r="T30" s="126">
        <f t="shared" si="13"/>
        <v>57875</v>
      </c>
      <c r="U30" s="126">
        <f t="shared" si="2"/>
        <v>2125</v>
      </c>
    </row>
    <row r="31" spans="1:21" s="54" customFormat="1" ht="12" outlineLevel="1">
      <c r="A31" s="31" t="s">
        <v>58</v>
      </c>
      <c r="B31" s="77" t="s">
        <v>211</v>
      </c>
      <c r="C31" s="44">
        <f>D31/D80</f>
        <v>0.10034981947067478</v>
      </c>
      <c r="D31" s="163">
        <f t="shared" si="0"/>
        <v>2500</v>
      </c>
      <c r="E31" s="47">
        <v>30000</v>
      </c>
      <c r="F31" s="105">
        <v>2500</v>
      </c>
      <c r="G31" s="72"/>
      <c r="H31" s="72">
        <v>2500</v>
      </c>
      <c r="I31" s="72"/>
      <c r="J31" s="72">
        <f>2500+2500</f>
        <v>5000</v>
      </c>
      <c r="K31" s="244"/>
      <c r="L31" s="244">
        <v>5000</v>
      </c>
      <c r="M31" s="244">
        <v>2500</v>
      </c>
      <c r="N31" s="244">
        <v>2500</v>
      </c>
      <c r="O31" s="244">
        <v>2500</v>
      </c>
      <c r="P31" s="244">
        <f>2500+7000+3000</f>
        <v>12500</v>
      </c>
      <c r="Q31" s="244">
        <v>3000</v>
      </c>
      <c r="R31" s="72">
        <v>3000</v>
      </c>
      <c r="S31" s="260"/>
      <c r="T31" s="53">
        <f t="shared" si="13"/>
        <v>38500</v>
      </c>
      <c r="U31" s="53">
        <f t="shared" si="2"/>
        <v>-8500</v>
      </c>
    </row>
    <row r="32" spans="1:21" s="54" customFormat="1" ht="12" outlineLevel="1">
      <c r="A32" s="31" t="s">
        <v>73</v>
      </c>
      <c r="B32" s="43" t="s">
        <v>187</v>
      </c>
      <c r="C32" s="44">
        <f>D32/D80</f>
        <v>3.3449939823558261E-2</v>
      </c>
      <c r="D32" s="163">
        <f t="shared" si="0"/>
        <v>833.33333333333337</v>
      </c>
      <c r="E32" s="47">
        <v>10000</v>
      </c>
      <c r="F32" s="105"/>
      <c r="G32" s="72"/>
      <c r="H32" s="72"/>
      <c r="I32" s="72"/>
      <c r="J32" s="72"/>
      <c r="K32" s="244"/>
      <c r="L32" s="245"/>
      <c r="M32" s="244"/>
      <c r="N32" s="244"/>
      <c r="O32" s="244"/>
      <c r="P32" s="244">
        <v>3048</v>
      </c>
      <c r="Q32" s="244"/>
      <c r="R32" s="72"/>
      <c r="S32" s="105"/>
      <c r="T32" s="53">
        <f t="shared" si="13"/>
        <v>3048</v>
      </c>
      <c r="U32" s="53">
        <f t="shared" si="2"/>
        <v>6952</v>
      </c>
    </row>
    <row r="33" spans="1:21" s="54" customFormat="1" ht="12" outlineLevel="1">
      <c r="A33" s="31" t="s">
        <v>75</v>
      </c>
      <c r="B33" s="43" t="s">
        <v>20</v>
      </c>
      <c r="C33" s="44">
        <f>D33/D80</f>
        <v>3.2111942230615927E-2</v>
      </c>
      <c r="D33" s="163">
        <f t="shared" si="0"/>
        <v>800</v>
      </c>
      <c r="E33" s="47">
        <v>9600</v>
      </c>
      <c r="F33" s="105">
        <v>2400</v>
      </c>
      <c r="G33" s="72"/>
      <c r="H33" s="72"/>
      <c r="I33" s="72"/>
      <c r="J33" s="72">
        <v>2400</v>
      </c>
      <c r="K33" s="244"/>
      <c r="L33" s="244"/>
      <c r="M33" s="244">
        <v>2400</v>
      </c>
      <c r="N33" s="244">
        <v>800</v>
      </c>
      <c r="O33" s="244">
        <v>800</v>
      </c>
      <c r="P33" s="244">
        <v>800</v>
      </c>
      <c r="Q33" s="244"/>
      <c r="R33" s="72">
        <f>800+800</f>
        <v>1600</v>
      </c>
      <c r="S33" s="105">
        <v>800</v>
      </c>
      <c r="T33" s="126">
        <f t="shared" si="13"/>
        <v>9600</v>
      </c>
      <c r="U33" s="126">
        <f t="shared" si="2"/>
        <v>0</v>
      </c>
    </row>
    <row r="34" spans="1:21" s="54" customFormat="1" ht="12" outlineLevel="1">
      <c r="A34" s="31" t="s">
        <v>79</v>
      </c>
      <c r="B34" s="226" t="s">
        <v>206</v>
      </c>
      <c r="C34" s="44">
        <f>D34/D80</f>
        <v>0.12041978336480974</v>
      </c>
      <c r="D34" s="163">
        <f t="shared" si="0"/>
        <v>3000</v>
      </c>
      <c r="E34" s="187">
        <v>36000</v>
      </c>
      <c r="F34" s="105"/>
      <c r="G34" s="72"/>
      <c r="H34" s="72"/>
      <c r="I34" s="72"/>
      <c r="J34" s="72"/>
      <c r="K34" s="244"/>
      <c r="L34" s="244">
        <f>6800+22208</f>
        <v>29008</v>
      </c>
      <c r="M34" s="244"/>
      <c r="N34" s="244"/>
      <c r="O34" s="244"/>
      <c r="P34" s="244"/>
      <c r="Q34" s="244"/>
      <c r="R34" s="72"/>
      <c r="S34" s="105"/>
      <c r="T34" s="126">
        <f t="shared" si="13"/>
        <v>29008</v>
      </c>
      <c r="U34" s="126">
        <f t="shared" si="2"/>
        <v>6992</v>
      </c>
    </row>
    <row r="35" spans="1:21" s="54" customFormat="1" ht="12" outlineLevel="1">
      <c r="A35" s="31" t="s">
        <v>82</v>
      </c>
      <c r="B35" s="43" t="s">
        <v>101</v>
      </c>
      <c r="C35" s="44">
        <f>D35/D80</f>
        <v>1.0034981947067478E-2</v>
      </c>
      <c r="D35" s="163">
        <f t="shared" si="0"/>
        <v>250</v>
      </c>
      <c r="E35" s="47">
        <v>3000</v>
      </c>
      <c r="F35" s="105"/>
      <c r="G35" s="72"/>
      <c r="H35" s="72"/>
      <c r="I35" s="72"/>
      <c r="J35" s="72"/>
      <c r="K35" s="244"/>
      <c r="L35" s="244"/>
      <c r="M35" s="244">
        <v>1741.66</v>
      </c>
      <c r="N35" s="244"/>
      <c r="O35" s="244"/>
      <c r="P35" s="244"/>
      <c r="Q35" s="244"/>
      <c r="R35" s="72"/>
      <c r="S35" s="105"/>
      <c r="T35" s="126">
        <f t="shared" si="13"/>
        <v>1741.66</v>
      </c>
      <c r="U35" s="126">
        <f t="shared" si="2"/>
        <v>1258.3399999999999</v>
      </c>
    </row>
    <row r="36" spans="1:21" s="54" customFormat="1" ht="12" outlineLevel="1">
      <c r="A36" s="31" t="s">
        <v>103</v>
      </c>
      <c r="B36" s="43" t="s">
        <v>21</v>
      </c>
      <c r="C36" s="44">
        <f>D36/D80</f>
        <v>6.6899879647116522E-2</v>
      </c>
      <c r="D36" s="163">
        <f t="shared" si="0"/>
        <v>1666.6666666666667</v>
      </c>
      <c r="E36" s="47">
        <v>20000</v>
      </c>
      <c r="F36" s="105"/>
      <c r="G36" s="72"/>
      <c r="H36" s="72">
        <v>2000</v>
      </c>
      <c r="I36" s="72"/>
      <c r="J36" s="72">
        <f>1990+16400</f>
        <v>18390</v>
      </c>
      <c r="K36" s="244"/>
      <c r="L36" s="244"/>
      <c r="M36" s="244"/>
      <c r="N36" s="244"/>
      <c r="O36" s="244"/>
      <c r="P36" s="244">
        <v>1000</v>
      </c>
      <c r="Q36" s="244"/>
      <c r="R36" s="72"/>
      <c r="S36" s="105"/>
      <c r="T36" s="126">
        <f t="shared" si="13"/>
        <v>21390</v>
      </c>
      <c r="U36" s="126">
        <f t="shared" si="2"/>
        <v>-1390</v>
      </c>
    </row>
    <row r="37" spans="1:21" s="54" customFormat="1" ht="12" outlineLevel="1">
      <c r="A37" s="31" t="s">
        <v>138</v>
      </c>
      <c r="B37" s="43" t="s">
        <v>196</v>
      </c>
      <c r="C37" s="44">
        <f>D37/D80</f>
        <v>0.16724969911779131</v>
      </c>
      <c r="D37" s="163">
        <f t="shared" si="0"/>
        <v>4166.666666666667</v>
      </c>
      <c r="E37" s="47">
        <v>50000</v>
      </c>
      <c r="F37" s="105"/>
      <c r="G37" s="72"/>
      <c r="H37" s="72"/>
      <c r="I37" s="72"/>
      <c r="J37" s="72"/>
      <c r="K37" s="244">
        <v>7281.62</v>
      </c>
      <c r="L37" s="244"/>
      <c r="M37" s="244"/>
      <c r="N37" s="244"/>
      <c r="O37" s="244">
        <v>36500</v>
      </c>
      <c r="P37" s="244">
        <v>28569</v>
      </c>
      <c r="Q37" s="244"/>
      <c r="R37" s="72"/>
      <c r="S37" s="105"/>
      <c r="T37" s="126">
        <f t="shared" si="13"/>
        <v>72350.62</v>
      </c>
      <c r="U37" s="126">
        <f t="shared" si="2"/>
        <v>-22350.619999999995</v>
      </c>
    </row>
    <row r="38" spans="1:21" s="54" customFormat="1" ht="12" outlineLevel="1">
      <c r="A38" s="31" t="s">
        <v>139</v>
      </c>
      <c r="B38" s="67" t="s">
        <v>210</v>
      </c>
      <c r="C38" s="44">
        <f>D38/D80</f>
        <v>0.10703980743538642</v>
      </c>
      <c r="D38" s="163">
        <f t="shared" si="0"/>
        <v>2666.6666666666665</v>
      </c>
      <c r="E38" s="47">
        <v>32000</v>
      </c>
      <c r="F38" s="105">
        <v>5300</v>
      </c>
      <c r="G38" s="72"/>
      <c r="H38" s="72">
        <v>2100</v>
      </c>
      <c r="I38" s="72">
        <v>4400</v>
      </c>
      <c r="J38" s="72">
        <v>1505</v>
      </c>
      <c r="K38" s="244">
        <f>1500</f>
        <v>1500</v>
      </c>
      <c r="L38" s="244">
        <v>1500</v>
      </c>
      <c r="M38" s="244">
        <f>1800+800</f>
        <v>2600</v>
      </c>
      <c r="N38" s="244">
        <v>3750</v>
      </c>
      <c r="O38" s="244">
        <f>2550+1800</f>
        <v>4350</v>
      </c>
      <c r="P38" s="244">
        <f>1200</f>
        <v>1200</v>
      </c>
      <c r="Q38" s="244">
        <f>3750+377</f>
        <v>4127</v>
      </c>
      <c r="R38" s="72">
        <f>900+1400</f>
        <v>2300</v>
      </c>
      <c r="S38" s="105"/>
      <c r="T38" s="126">
        <f t="shared" si="13"/>
        <v>29332</v>
      </c>
      <c r="U38" s="126">
        <f t="shared" si="2"/>
        <v>2668</v>
      </c>
    </row>
    <row r="39" spans="1:21" s="54" customFormat="1" ht="12" outlineLevel="1">
      <c r="A39" s="31" t="s">
        <v>140</v>
      </c>
      <c r="B39" s="43" t="s">
        <v>186</v>
      </c>
      <c r="C39" s="145">
        <f>D39/D80</f>
        <v>3.3449939823558261E-2</v>
      </c>
      <c r="D39" s="163">
        <f t="shared" si="0"/>
        <v>833.33333333333337</v>
      </c>
      <c r="E39" s="47">
        <v>10000</v>
      </c>
      <c r="F39" s="120"/>
      <c r="G39" s="93"/>
      <c r="H39" s="93"/>
      <c r="I39" s="93"/>
      <c r="J39" s="93">
        <v>4900</v>
      </c>
      <c r="K39" s="247"/>
      <c r="L39" s="244"/>
      <c r="M39" s="247"/>
      <c r="N39" s="247">
        <v>2860</v>
      </c>
      <c r="O39" s="247"/>
      <c r="P39" s="247"/>
      <c r="Q39" s="247"/>
      <c r="R39" s="93"/>
      <c r="S39" s="120"/>
      <c r="T39" s="126">
        <f t="shared" si="13"/>
        <v>7760</v>
      </c>
      <c r="U39" s="126">
        <f t="shared" si="2"/>
        <v>2240</v>
      </c>
    </row>
    <row r="40" spans="1:21" s="54" customFormat="1" ht="12" outlineLevel="1">
      <c r="A40" s="31" t="s">
        <v>141</v>
      </c>
      <c r="B40" s="146" t="s">
        <v>185</v>
      </c>
      <c r="C40" s="132">
        <f>D40/D80</f>
        <v>8.3624849558895653E-2</v>
      </c>
      <c r="D40" s="168">
        <f t="shared" si="0"/>
        <v>2083.3333333333335</v>
      </c>
      <c r="E40" s="47">
        <v>25000</v>
      </c>
      <c r="F40" s="120"/>
      <c r="G40" s="93"/>
      <c r="H40" s="93"/>
      <c r="I40" s="93"/>
      <c r="J40" s="93"/>
      <c r="K40" s="247"/>
      <c r="L40" s="244">
        <v>25000</v>
      </c>
      <c r="M40" s="247"/>
      <c r="N40" s="247"/>
      <c r="O40" s="247"/>
      <c r="P40" s="247"/>
      <c r="Q40" s="247"/>
      <c r="R40" s="93"/>
      <c r="S40" s="120"/>
      <c r="T40" s="126">
        <f t="shared" si="13"/>
        <v>25000</v>
      </c>
      <c r="U40" s="126">
        <f t="shared" si="2"/>
        <v>0</v>
      </c>
    </row>
    <row r="41" spans="1:21" s="54" customFormat="1" ht="12" outlineLevel="1">
      <c r="A41" s="31" t="s">
        <v>142</v>
      </c>
      <c r="B41" s="232" t="s">
        <v>201</v>
      </c>
      <c r="C41" s="132">
        <f>D41/D80</f>
        <v>0.2341495787649078</v>
      </c>
      <c r="D41" s="168">
        <f t="shared" si="0"/>
        <v>5833.333333333333</v>
      </c>
      <c r="E41" s="47">
        <v>70000</v>
      </c>
      <c r="F41" s="120"/>
      <c r="G41" s="93"/>
      <c r="H41" s="93"/>
      <c r="I41" s="93"/>
      <c r="J41" s="93">
        <v>5440</v>
      </c>
      <c r="K41" s="247"/>
      <c r="L41" s="244"/>
      <c r="M41" s="247"/>
      <c r="N41" s="247"/>
      <c r="O41" s="247"/>
      <c r="P41" s="247"/>
      <c r="Q41" s="247">
        <v>4839</v>
      </c>
      <c r="R41" s="93">
        <v>8603</v>
      </c>
      <c r="S41" s="120"/>
      <c r="T41" s="126">
        <f t="shared" si="13"/>
        <v>18882</v>
      </c>
      <c r="U41" s="126">
        <f t="shared" si="2"/>
        <v>51118</v>
      </c>
    </row>
    <row r="42" spans="1:21" s="54" customFormat="1" outlineLevel="1" thickBot="1">
      <c r="A42" s="31" t="s">
        <v>163</v>
      </c>
      <c r="B42" s="155" t="s">
        <v>164</v>
      </c>
      <c r="C42" s="147">
        <f>D42/D80</f>
        <v>1.0034981947067478E-2</v>
      </c>
      <c r="D42" s="163">
        <f t="shared" ref="D42:D78" si="16">E42/12</f>
        <v>250</v>
      </c>
      <c r="E42" s="47">
        <v>3000</v>
      </c>
      <c r="F42" s="105"/>
      <c r="G42" s="72"/>
      <c r="H42" s="72"/>
      <c r="I42" s="72"/>
      <c r="J42" s="72"/>
      <c r="K42" s="244"/>
      <c r="L42" s="244"/>
      <c r="M42" s="244"/>
      <c r="N42" s="244"/>
      <c r="O42" s="244"/>
      <c r="P42" s="244"/>
      <c r="Q42" s="244"/>
      <c r="R42" s="72"/>
      <c r="S42" s="105"/>
      <c r="T42" s="141">
        <f t="shared" si="13"/>
        <v>0</v>
      </c>
      <c r="U42" s="126">
        <f t="shared" si="2"/>
        <v>3000</v>
      </c>
    </row>
    <row r="43" spans="1:21">
      <c r="A43" s="27" t="s">
        <v>112</v>
      </c>
      <c r="B43" s="7" t="s">
        <v>102</v>
      </c>
      <c r="C43" s="37">
        <f>D43/D80</f>
        <v>0.42146924177683409</v>
      </c>
      <c r="D43" s="162">
        <f t="shared" si="16"/>
        <v>10500</v>
      </c>
      <c r="E43" s="64">
        <f>SUM(E44:E50)</f>
        <v>126000</v>
      </c>
      <c r="F43" s="70">
        <f t="shared" ref="F43" si="17">SUM(F44:F50)</f>
        <v>0</v>
      </c>
      <c r="G43" s="70">
        <f t="shared" ref="G43:S43" si="18">SUM(G44:G50)</f>
        <v>8359.48</v>
      </c>
      <c r="H43" s="70">
        <f t="shared" si="18"/>
        <v>4827.9799999999996</v>
      </c>
      <c r="I43" s="70">
        <f t="shared" si="18"/>
        <v>7763.77</v>
      </c>
      <c r="J43" s="70">
        <f t="shared" si="18"/>
        <v>6498.4</v>
      </c>
      <c r="K43" s="243">
        <f t="shared" si="18"/>
        <v>6954.77</v>
      </c>
      <c r="L43" s="243">
        <f t="shared" si="18"/>
        <v>0</v>
      </c>
      <c r="M43" s="243">
        <f t="shared" si="18"/>
        <v>4941</v>
      </c>
      <c r="N43" s="243">
        <f t="shared" si="18"/>
        <v>19531.75</v>
      </c>
      <c r="O43" s="243">
        <f t="shared" si="18"/>
        <v>16010.720000000001</v>
      </c>
      <c r="P43" s="243">
        <f t="shared" si="18"/>
        <v>7397.78</v>
      </c>
      <c r="Q43" s="243">
        <f t="shared" si="18"/>
        <v>29917.73</v>
      </c>
      <c r="R43" s="70">
        <f t="shared" si="18"/>
        <v>9024.42</v>
      </c>
      <c r="S43" s="70">
        <f t="shared" si="18"/>
        <v>0</v>
      </c>
      <c r="T43" s="142">
        <f t="shared" si="13"/>
        <v>121227.79999999999</v>
      </c>
      <c r="U43" s="143">
        <f t="shared" si="2"/>
        <v>4772.2000000000116</v>
      </c>
    </row>
    <row r="44" spans="1:21" s="54" customFormat="1" ht="12" outlineLevel="1">
      <c r="A44" s="31" t="s">
        <v>59</v>
      </c>
      <c r="B44" s="43" t="s">
        <v>80</v>
      </c>
      <c r="C44" s="44">
        <f>D44/D80</f>
        <v>0.13379975929423304</v>
      </c>
      <c r="D44" s="163">
        <f t="shared" si="16"/>
        <v>3333.3333333333335</v>
      </c>
      <c r="E44" s="47">
        <v>40000</v>
      </c>
      <c r="F44" s="105"/>
      <c r="G44" s="72">
        <f>149.4+200+273+600+100+137.08</f>
        <v>1459.48</v>
      </c>
      <c r="H44" s="72"/>
      <c r="I44" s="72"/>
      <c r="J44" s="72">
        <f>191.9+601.5+83+4382+1240</f>
        <v>6498.4</v>
      </c>
      <c r="K44" s="244"/>
      <c r="L44" s="244"/>
      <c r="M44" s="244"/>
      <c r="N44" s="244">
        <f>6800+1399.5+9608.25+98</f>
        <v>17905.75</v>
      </c>
      <c r="O44" s="244">
        <v>10782.35</v>
      </c>
      <c r="P44" s="244">
        <v>2447.1999999999998</v>
      </c>
      <c r="Q44" s="244">
        <v>700</v>
      </c>
      <c r="R44" s="72"/>
      <c r="S44" s="105"/>
      <c r="T44" s="126">
        <f t="shared" si="13"/>
        <v>39793.179999999993</v>
      </c>
      <c r="U44" s="126">
        <f t="shared" si="2"/>
        <v>206.82000000000698</v>
      </c>
    </row>
    <row r="45" spans="1:21" s="54" customFormat="1" ht="12" outlineLevel="1">
      <c r="A45" s="31" t="s">
        <v>60</v>
      </c>
      <c r="B45" s="43" t="s">
        <v>184</v>
      </c>
      <c r="C45" s="44">
        <f>D45/D80</f>
        <v>6.6899879647116522E-2</v>
      </c>
      <c r="D45" s="163">
        <f t="shared" si="16"/>
        <v>1666.6666666666667</v>
      </c>
      <c r="E45" s="47">
        <v>20000</v>
      </c>
      <c r="F45" s="105"/>
      <c r="G45" s="72">
        <f>200+60+190</f>
        <v>450</v>
      </c>
      <c r="H45" s="72">
        <v>439.98</v>
      </c>
      <c r="I45" s="86">
        <f>1453.77+30</f>
        <v>1483.77</v>
      </c>
      <c r="J45" s="72"/>
      <c r="K45" s="249">
        <f>1534.77+184+300</f>
        <v>2018.77</v>
      </c>
      <c r="L45" s="244"/>
      <c r="M45" s="249">
        <f>240+1024</f>
        <v>1264</v>
      </c>
      <c r="N45" s="244"/>
      <c r="O45" s="249">
        <v>1608.37</v>
      </c>
      <c r="P45" s="244">
        <f>2063.58+260</f>
        <v>2323.58</v>
      </c>
      <c r="Q45" s="249">
        <v>823</v>
      </c>
      <c r="R45" s="72">
        <v>881</v>
      </c>
      <c r="S45" s="105"/>
      <c r="T45" s="126">
        <f t="shared" si="13"/>
        <v>11292.470000000001</v>
      </c>
      <c r="U45" s="126">
        <f t="shared" si="2"/>
        <v>8707.5299999999988</v>
      </c>
    </row>
    <row r="46" spans="1:21" s="54" customFormat="1" ht="12" outlineLevel="1">
      <c r="A46" s="31" t="s">
        <v>61</v>
      </c>
      <c r="B46" s="43" t="s">
        <v>202</v>
      </c>
      <c r="C46" s="44">
        <f>D46/D80</f>
        <v>3.3449939823558261E-2</v>
      </c>
      <c r="D46" s="163">
        <f t="shared" si="16"/>
        <v>833.33333333333337</v>
      </c>
      <c r="E46" s="47">
        <v>10000</v>
      </c>
      <c r="F46" s="105"/>
      <c r="G46" s="72"/>
      <c r="H46" s="72">
        <v>730</v>
      </c>
      <c r="I46" s="72"/>
      <c r="J46" s="72"/>
      <c r="K46" s="244"/>
      <c r="L46" s="244"/>
      <c r="M46" s="244"/>
      <c r="N46" s="244"/>
      <c r="O46" s="244"/>
      <c r="P46" s="244"/>
      <c r="Q46" s="244"/>
      <c r="R46" s="72"/>
      <c r="S46" s="105"/>
      <c r="T46" s="126">
        <f t="shared" si="13"/>
        <v>730</v>
      </c>
      <c r="U46" s="126">
        <f t="shared" si="2"/>
        <v>9270</v>
      </c>
    </row>
    <row r="47" spans="1:21" s="54" customFormat="1" ht="12" outlineLevel="1">
      <c r="A47" s="31" t="s">
        <v>62</v>
      </c>
      <c r="B47" s="43" t="s">
        <v>25</v>
      </c>
      <c r="C47" s="44">
        <f>D47/D80</f>
        <v>2.0069963894134957E-2</v>
      </c>
      <c r="D47" s="163">
        <f t="shared" si="16"/>
        <v>500</v>
      </c>
      <c r="E47" s="47">
        <v>6000</v>
      </c>
      <c r="F47" s="105"/>
      <c r="G47" s="72"/>
      <c r="H47" s="72"/>
      <c r="I47" s="72"/>
      <c r="J47" s="72"/>
      <c r="K47" s="244"/>
      <c r="L47" s="244"/>
      <c r="M47" s="244"/>
      <c r="N47" s="244"/>
      <c r="O47" s="244"/>
      <c r="P47" s="244"/>
      <c r="Q47" s="244"/>
      <c r="R47" s="72"/>
      <c r="S47" s="105"/>
      <c r="T47" s="126">
        <f t="shared" si="13"/>
        <v>0</v>
      </c>
      <c r="U47" s="126">
        <f t="shared" si="2"/>
        <v>6000</v>
      </c>
    </row>
    <row r="48" spans="1:21" s="54" customFormat="1" ht="12" outlineLevel="1">
      <c r="A48" s="31" t="s">
        <v>63</v>
      </c>
      <c r="B48" s="67" t="s">
        <v>76</v>
      </c>
      <c r="C48" s="44">
        <f>D48/D80</f>
        <v>1.3379975929423303E-2</v>
      </c>
      <c r="D48" s="163">
        <f t="shared" si="16"/>
        <v>333.33333333333331</v>
      </c>
      <c r="E48" s="47">
        <v>4000</v>
      </c>
      <c r="F48" s="105"/>
      <c r="G48" s="72"/>
      <c r="H48" s="72"/>
      <c r="I48" s="72"/>
      <c r="J48" s="72"/>
      <c r="K48" s="244"/>
      <c r="L48" s="244"/>
      <c r="M48" s="244"/>
      <c r="N48" s="244">
        <v>50</v>
      </c>
      <c r="O48" s="244"/>
      <c r="P48" s="244"/>
      <c r="Q48" s="244"/>
      <c r="R48" s="72"/>
      <c r="S48" s="105"/>
      <c r="T48" s="126">
        <f t="shared" si="13"/>
        <v>50</v>
      </c>
      <c r="U48" s="126">
        <f t="shared" si="2"/>
        <v>3950</v>
      </c>
    </row>
    <row r="49" spans="1:21" s="54" customFormat="1" ht="12" outlineLevel="1">
      <c r="A49" s="31" t="s">
        <v>64</v>
      </c>
      <c r="B49" s="43" t="s">
        <v>189</v>
      </c>
      <c r="C49" s="44">
        <f>D49/D80</f>
        <v>0.13379975929423304</v>
      </c>
      <c r="D49" s="163">
        <f>E49/12</f>
        <v>3333.3333333333335</v>
      </c>
      <c r="E49" s="47">
        <v>40000</v>
      </c>
      <c r="F49" s="131"/>
      <c r="G49" s="72"/>
      <c r="H49" s="72">
        <v>3658</v>
      </c>
      <c r="I49" s="72">
        <v>6280</v>
      </c>
      <c r="J49" s="72"/>
      <c r="K49" s="244">
        <f>4936</f>
        <v>4936</v>
      </c>
      <c r="L49" s="244"/>
      <c r="M49" s="244">
        <f>504+200+2460+513</f>
        <v>3677</v>
      </c>
      <c r="N49" s="244">
        <f>1130+166+280</f>
        <v>1576</v>
      </c>
      <c r="O49" s="247">
        <v>3620</v>
      </c>
      <c r="P49" s="244">
        <v>2627</v>
      </c>
      <c r="Q49" s="247">
        <f>10369.73+2260+15765</f>
        <v>28394.73</v>
      </c>
      <c r="R49" s="72">
        <f>5599.42+2544</f>
        <v>8143.42</v>
      </c>
      <c r="S49" s="131"/>
      <c r="T49" s="126">
        <f t="shared" si="13"/>
        <v>62912.149999999994</v>
      </c>
      <c r="U49" s="126">
        <f t="shared" si="2"/>
        <v>-22912.149999999994</v>
      </c>
    </row>
    <row r="50" spans="1:21" s="54" customFormat="1" outlineLevel="1" thickBot="1">
      <c r="A50" s="152" t="s">
        <v>65</v>
      </c>
      <c r="B50" s="153" t="s">
        <v>190</v>
      </c>
      <c r="C50" s="145">
        <f>D50/D80</f>
        <v>2.0069963894134957E-2</v>
      </c>
      <c r="D50" s="169">
        <f>E50/12</f>
        <v>500</v>
      </c>
      <c r="E50" s="82">
        <v>6000</v>
      </c>
      <c r="F50" s="105"/>
      <c r="G50" s="72">
        <v>6450</v>
      </c>
      <c r="H50" s="72"/>
      <c r="I50" s="72"/>
      <c r="J50" s="72"/>
      <c r="K50" s="244"/>
      <c r="L50" s="244"/>
      <c r="M50" s="244"/>
      <c r="N50" s="244"/>
      <c r="O50" s="244"/>
      <c r="P50" s="244"/>
      <c r="Q50" s="244"/>
      <c r="R50" s="72"/>
      <c r="S50" s="105"/>
      <c r="T50" s="126">
        <f t="shared" si="13"/>
        <v>6450</v>
      </c>
      <c r="U50" s="126">
        <f t="shared" si="2"/>
        <v>-450</v>
      </c>
    </row>
    <row r="51" spans="1:21">
      <c r="A51" s="27" t="s">
        <v>113</v>
      </c>
      <c r="B51" s="148" t="s">
        <v>127</v>
      </c>
      <c r="C51" s="154">
        <f>D51/D80</f>
        <v>2.1287541703712476</v>
      </c>
      <c r="D51" s="170">
        <f t="shared" si="16"/>
        <v>53033.333333333336</v>
      </c>
      <c r="E51" s="177">
        <f t="shared" ref="E51:S51" si="19">SUM(E52:E66)</f>
        <v>636400</v>
      </c>
      <c r="F51" s="106">
        <f t="shared" ref="F51" si="20">SUM(F52:F66)</f>
        <v>0</v>
      </c>
      <c r="G51" s="70">
        <f t="shared" si="19"/>
        <v>0</v>
      </c>
      <c r="H51" s="70">
        <f t="shared" si="19"/>
        <v>4986</v>
      </c>
      <c r="I51" s="70">
        <f t="shared" si="19"/>
        <v>1925</v>
      </c>
      <c r="J51" s="70">
        <f t="shared" si="19"/>
        <v>23321</v>
      </c>
      <c r="K51" s="250">
        <f t="shared" si="19"/>
        <v>5752.59</v>
      </c>
      <c r="L51" s="243">
        <f t="shared" si="19"/>
        <v>211964.67</v>
      </c>
      <c r="M51" s="243">
        <f t="shared" si="19"/>
        <v>44818.28</v>
      </c>
      <c r="N51" s="243">
        <f t="shared" si="19"/>
        <v>0</v>
      </c>
      <c r="O51" s="243">
        <f t="shared" si="19"/>
        <v>19248</v>
      </c>
      <c r="P51" s="243">
        <f t="shared" si="19"/>
        <v>42269</v>
      </c>
      <c r="Q51" s="243">
        <f t="shared" si="19"/>
        <v>0</v>
      </c>
      <c r="R51" s="70">
        <f t="shared" si="19"/>
        <v>65245</v>
      </c>
      <c r="S51" s="106">
        <f t="shared" si="19"/>
        <v>68000</v>
      </c>
      <c r="T51" s="143">
        <f t="shared" si="13"/>
        <v>487529.54000000004</v>
      </c>
      <c r="U51" s="143">
        <f t="shared" si="2"/>
        <v>148870.45999999996</v>
      </c>
    </row>
    <row r="52" spans="1:21" s="54" customFormat="1" ht="12" outlineLevel="1">
      <c r="A52" s="31" t="s">
        <v>143</v>
      </c>
      <c r="B52" s="149" t="s">
        <v>192</v>
      </c>
      <c r="C52" s="132">
        <f>D52/D80</f>
        <v>0.13379975929423304</v>
      </c>
      <c r="D52" s="168">
        <f t="shared" si="16"/>
        <v>3333.3333333333335</v>
      </c>
      <c r="E52" s="178">
        <v>40000</v>
      </c>
      <c r="F52" s="105"/>
      <c r="G52" s="72"/>
      <c r="H52" s="72"/>
      <c r="I52" s="72"/>
      <c r="J52" s="72"/>
      <c r="K52" s="245"/>
      <c r="L52" s="244"/>
      <c r="M52" s="244"/>
      <c r="N52" s="244"/>
      <c r="O52" s="245"/>
      <c r="P52" s="244">
        <f>30114+1150</f>
        <v>31264</v>
      </c>
      <c r="Q52" s="244"/>
      <c r="R52" s="72"/>
      <c r="S52" s="105"/>
      <c r="T52" s="126">
        <f t="shared" si="13"/>
        <v>31264</v>
      </c>
      <c r="U52" s="126">
        <f t="shared" si="2"/>
        <v>8736</v>
      </c>
    </row>
    <row r="53" spans="1:21" s="54" customFormat="1" ht="12" outlineLevel="1">
      <c r="A53" s="31" t="s">
        <v>144</v>
      </c>
      <c r="B53" s="150" t="s">
        <v>191</v>
      </c>
      <c r="C53" s="132">
        <f>D53/D80</f>
        <v>0.40139927788269913</v>
      </c>
      <c r="D53" s="168">
        <f t="shared" si="16"/>
        <v>10000</v>
      </c>
      <c r="E53" s="178">
        <v>120000</v>
      </c>
      <c r="F53" s="105"/>
      <c r="G53" s="72"/>
      <c r="H53" s="72"/>
      <c r="I53" s="72"/>
      <c r="J53" s="72"/>
      <c r="K53" s="244"/>
      <c r="L53" s="244"/>
      <c r="M53" s="244"/>
      <c r="N53" s="244"/>
      <c r="O53" s="244"/>
      <c r="P53" s="244"/>
      <c r="Q53" s="244"/>
      <c r="R53" s="72"/>
      <c r="S53" s="105"/>
      <c r="T53" s="259">
        <f t="shared" si="13"/>
        <v>0</v>
      </c>
      <c r="U53" s="126">
        <f t="shared" si="2"/>
        <v>120000</v>
      </c>
    </row>
    <row r="54" spans="1:21" s="54" customFormat="1" ht="12" outlineLevel="1">
      <c r="A54" s="31" t="s">
        <v>145</v>
      </c>
      <c r="B54" s="195" t="s">
        <v>207</v>
      </c>
      <c r="C54" s="132">
        <f>D54/D80</f>
        <v>3.3449939823558261E-2</v>
      </c>
      <c r="D54" s="168">
        <f t="shared" si="16"/>
        <v>833.33333333333337</v>
      </c>
      <c r="E54" s="188">
        <v>10000</v>
      </c>
      <c r="F54" s="105"/>
      <c r="G54" s="72"/>
      <c r="H54" s="72"/>
      <c r="I54" s="72"/>
      <c r="J54" s="72"/>
      <c r="K54" s="244"/>
      <c r="L54" s="244"/>
      <c r="M54" s="244"/>
      <c r="N54" s="244"/>
      <c r="O54" s="244"/>
      <c r="P54" s="244"/>
      <c r="Q54" s="244"/>
      <c r="R54" s="72"/>
      <c r="S54" s="105"/>
      <c r="T54" s="126">
        <f t="shared" si="13"/>
        <v>0</v>
      </c>
      <c r="U54" s="126">
        <f t="shared" si="2"/>
        <v>10000</v>
      </c>
    </row>
    <row r="55" spans="1:21" s="54" customFormat="1" ht="12" outlineLevel="1">
      <c r="A55" s="31" t="s">
        <v>146</v>
      </c>
      <c r="B55" s="149" t="s">
        <v>125</v>
      </c>
      <c r="C55" s="132">
        <f>D55/D80</f>
        <v>4.0139927788269913E-2</v>
      </c>
      <c r="D55" s="168">
        <f t="shared" si="16"/>
        <v>1000</v>
      </c>
      <c r="E55" s="178">
        <v>12000</v>
      </c>
      <c r="F55" s="105"/>
      <c r="G55" s="72"/>
      <c r="H55" s="72"/>
      <c r="I55" s="72"/>
      <c r="J55" s="72">
        <f>21051+820</f>
        <v>21871</v>
      </c>
      <c r="K55" s="244"/>
      <c r="L55" s="244"/>
      <c r="M55" s="244"/>
      <c r="N55" s="244"/>
      <c r="O55" s="244"/>
      <c r="P55" s="244">
        <v>1914</v>
      </c>
      <c r="Q55" s="244"/>
      <c r="R55" s="72"/>
      <c r="S55" s="105"/>
      <c r="T55" s="126">
        <f t="shared" si="13"/>
        <v>23785</v>
      </c>
      <c r="U55" s="126">
        <f t="shared" si="2"/>
        <v>-11785</v>
      </c>
    </row>
    <row r="56" spans="1:21" s="54" customFormat="1" ht="12" outlineLevel="1">
      <c r="A56" s="31" t="s">
        <v>147</v>
      </c>
      <c r="B56" s="150" t="s">
        <v>193</v>
      </c>
      <c r="C56" s="132">
        <f>D56/D80</f>
        <v>2.0069963894134957E-2</v>
      </c>
      <c r="D56" s="168">
        <f t="shared" si="16"/>
        <v>500</v>
      </c>
      <c r="E56" s="178">
        <v>6000</v>
      </c>
      <c r="F56" s="105"/>
      <c r="G56" s="72"/>
      <c r="H56" s="72"/>
      <c r="I56" s="72"/>
      <c r="J56" s="72"/>
      <c r="K56" s="244"/>
      <c r="L56" s="244"/>
      <c r="M56" s="244"/>
      <c r="N56" s="244"/>
      <c r="O56" s="244"/>
      <c r="P56" s="244"/>
      <c r="Q56" s="244"/>
      <c r="R56" s="72"/>
      <c r="S56" s="105"/>
      <c r="T56" s="126">
        <f t="shared" si="13"/>
        <v>0</v>
      </c>
      <c r="U56" s="126">
        <f t="shared" si="2"/>
        <v>6000</v>
      </c>
    </row>
    <row r="57" spans="1:21" s="54" customFormat="1" ht="12" outlineLevel="1">
      <c r="A57" s="31" t="s">
        <v>148</v>
      </c>
      <c r="B57" s="127" t="s">
        <v>128</v>
      </c>
      <c r="C57" s="132">
        <f>D57/D80</f>
        <v>0.12041978336480974</v>
      </c>
      <c r="D57" s="168">
        <f t="shared" si="16"/>
        <v>3000</v>
      </c>
      <c r="E57" s="178">
        <v>36000</v>
      </c>
      <c r="F57" s="105"/>
      <c r="G57" s="72"/>
      <c r="H57" s="72"/>
      <c r="I57" s="72"/>
      <c r="J57" s="72"/>
      <c r="K57" s="244"/>
      <c r="L57" s="244"/>
      <c r="M57" s="244"/>
      <c r="N57" s="244"/>
      <c r="O57" s="244"/>
      <c r="P57" s="244"/>
      <c r="Q57" s="244"/>
      <c r="R57" s="72"/>
      <c r="S57" s="105"/>
      <c r="T57" s="126">
        <f t="shared" si="13"/>
        <v>0</v>
      </c>
      <c r="U57" s="126">
        <f t="shared" si="2"/>
        <v>36000</v>
      </c>
    </row>
    <row r="58" spans="1:21" s="54" customFormat="1" ht="12" outlineLevel="1">
      <c r="A58" s="31" t="s">
        <v>149</v>
      </c>
      <c r="B58" s="149" t="s">
        <v>74</v>
      </c>
      <c r="C58" s="132">
        <f>D58/D80</f>
        <v>1.3379975929423303E-2</v>
      </c>
      <c r="D58" s="168">
        <f t="shared" si="16"/>
        <v>333.33333333333331</v>
      </c>
      <c r="E58" s="178">
        <v>4000</v>
      </c>
      <c r="F58" s="105"/>
      <c r="G58" s="72"/>
      <c r="H58" s="72"/>
      <c r="I58" s="72"/>
      <c r="J58" s="72"/>
      <c r="K58" s="244"/>
      <c r="L58" s="244"/>
      <c r="M58" s="244"/>
      <c r="N58" s="244"/>
      <c r="O58" s="244"/>
      <c r="P58" s="244"/>
      <c r="Q58" s="244"/>
      <c r="R58" s="72"/>
      <c r="S58" s="105">
        <v>4000</v>
      </c>
      <c r="T58" s="126">
        <f t="shared" si="13"/>
        <v>4000</v>
      </c>
      <c r="U58" s="126">
        <f t="shared" si="2"/>
        <v>0</v>
      </c>
    </row>
    <row r="59" spans="1:21" s="54" customFormat="1" ht="12" outlineLevel="1">
      <c r="A59" s="31" t="s">
        <v>150</v>
      </c>
      <c r="B59" s="150" t="s">
        <v>98</v>
      </c>
      <c r="C59" s="132">
        <f>D59/D80</f>
        <v>2.8097949451788937E-2</v>
      </c>
      <c r="D59" s="168">
        <f t="shared" si="16"/>
        <v>700</v>
      </c>
      <c r="E59" s="178">
        <v>8400</v>
      </c>
      <c r="F59" s="105"/>
      <c r="G59" s="72"/>
      <c r="H59" s="72"/>
      <c r="I59" s="72"/>
      <c r="J59" s="72"/>
      <c r="K59" s="244"/>
      <c r="L59" s="244"/>
      <c r="M59" s="244"/>
      <c r="N59" s="244"/>
      <c r="O59" s="244"/>
      <c r="P59" s="244"/>
      <c r="Q59" s="244"/>
      <c r="R59" s="72"/>
      <c r="S59" s="105"/>
      <c r="T59" s="126">
        <f t="shared" si="13"/>
        <v>0</v>
      </c>
      <c r="U59" s="126">
        <f t="shared" si="2"/>
        <v>8400</v>
      </c>
    </row>
    <row r="60" spans="1:21" s="54" customFormat="1" ht="12" outlineLevel="1">
      <c r="A60" s="31" t="s">
        <v>151</v>
      </c>
      <c r="B60" s="149" t="s">
        <v>212</v>
      </c>
      <c r="C60" s="132">
        <f>D60/D80</f>
        <v>8.0279855576539827E-2</v>
      </c>
      <c r="D60" s="168">
        <f t="shared" si="16"/>
        <v>2000</v>
      </c>
      <c r="E60" s="178">
        <v>24000</v>
      </c>
      <c r="F60" s="105"/>
      <c r="G60" s="72"/>
      <c r="H60" s="72">
        <f>3736+1250</f>
        <v>4986</v>
      </c>
      <c r="I60" s="72">
        <v>1925</v>
      </c>
      <c r="J60" s="72">
        <v>1450</v>
      </c>
      <c r="K60" s="244">
        <v>1800</v>
      </c>
      <c r="L60" s="244">
        <v>2600</v>
      </c>
      <c r="M60" s="244">
        <f>1600+8600</f>
        <v>10200</v>
      </c>
      <c r="N60" s="245"/>
      <c r="O60" s="244"/>
      <c r="P60" s="244"/>
      <c r="Q60" s="244"/>
      <c r="R60" s="72">
        <v>1245</v>
      </c>
      <c r="S60" s="105"/>
      <c r="T60" s="126">
        <f t="shared" si="13"/>
        <v>24206</v>
      </c>
      <c r="U60" s="126">
        <f t="shared" si="2"/>
        <v>-206</v>
      </c>
    </row>
    <row r="61" spans="1:21" s="54" customFormat="1" ht="12" outlineLevel="1">
      <c r="A61" s="31" t="s">
        <v>152</v>
      </c>
      <c r="B61" s="149" t="s">
        <v>194</v>
      </c>
      <c r="C61" s="132">
        <f>D61/D80</f>
        <v>8.6969843541251465E-2</v>
      </c>
      <c r="D61" s="168">
        <f t="shared" si="16"/>
        <v>2166.6666666666665</v>
      </c>
      <c r="E61" s="178">
        <v>26000</v>
      </c>
      <c r="F61" s="105"/>
      <c r="G61" s="72"/>
      <c r="H61" s="72"/>
      <c r="I61" s="72"/>
      <c r="J61" s="72"/>
      <c r="K61" s="244">
        <v>3952.59</v>
      </c>
      <c r="L61" s="244"/>
      <c r="M61" s="244"/>
      <c r="N61" s="244"/>
      <c r="O61" s="244">
        <v>19248</v>
      </c>
      <c r="P61" s="244"/>
      <c r="Q61" s="244"/>
      <c r="R61" s="72"/>
      <c r="S61" s="105"/>
      <c r="T61" s="126">
        <f t="shared" si="13"/>
        <v>23200.59</v>
      </c>
      <c r="U61" s="126">
        <f t="shared" si="2"/>
        <v>2799.41</v>
      </c>
    </row>
    <row r="62" spans="1:21" s="54" customFormat="1" ht="12" outlineLevel="1">
      <c r="A62" s="31" t="s">
        <v>153</v>
      </c>
      <c r="B62" s="155" t="s">
        <v>195</v>
      </c>
      <c r="C62" s="132">
        <f>D62/D80</f>
        <v>2.6759951858846606E-2</v>
      </c>
      <c r="D62" s="171">
        <f t="shared" ref="D62:D65" si="21">E62/12</f>
        <v>666.66666666666663</v>
      </c>
      <c r="E62" s="179">
        <v>8000</v>
      </c>
      <c r="F62" s="105"/>
      <c r="G62" s="72"/>
      <c r="H62" s="72"/>
      <c r="I62" s="72"/>
      <c r="J62" s="72"/>
      <c r="K62" s="244"/>
      <c r="L62" s="244"/>
      <c r="M62" s="244">
        <f>2500+630.28+310+2500</f>
        <v>5940.28</v>
      </c>
      <c r="N62" s="244"/>
      <c r="O62" s="244"/>
      <c r="P62" s="244"/>
      <c r="Q62" s="244"/>
      <c r="R62" s="72"/>
      <c r="S62" s="105"/>
      <c r="T62" s="126">
        <f t="shared" si="13"/>
        <v>5940.28</v>
      </c>
      <c r="U62" s="126">
        <f t="shared" si="2"/>
        <v>2059.7200000000003</v>
      </c>
    </row>
    <row r="63" spans="1:21" s="54" customFormat="1" ht="12" outlineLevel="1">
      <c r="A63" s="31" t="s">
        <v>154</v>
      </c>
      <c r="B63" s="151" t="s">
        <v>86</v>
      </c>
      <c r="C63" s="132">
        <f>D63/D80</f>
        <v>0.10034981947067478</v>
      </c>
      <c r="D63" s="171">
        <f t="shared" si="21"/>
        <v>2500</v>
      </c>
      <c r="E63" s="179">
        <v>30000</v>
      </c>
      <c r="F63" s="120"/>
      <c r="G63" s="93"/>
      <c r="H63" s="90"/>
      <c r="I63" s="72"/>
      <c r="J63" s="93"/>
      <c r="K63" s="247"/>
      <c r="L63" s="247">
        <v>7223</v>
      </c>
      <c r="M63" s="247">
        <f>25900+2778</f>
        <v>28678</v>
      </c>
      <c r="N63" s="247"/>
      <c r="O63" s="247"/>
      <c r="P63" s="247">
        <v>9091</v>
      </c>
      <c r="Q63" s="247"/>
      <c r="R63" s="93"/>
      <c r="S63" s="120"/>
      <c r="T63" s="126">
        <f t="shared" si="13"/>
        <v>44992</v>
      </c>
      <c r="U63" s="126">
        <f t="shared" si="2"/>
        <v>-14992</v>
      </c>
    </row>
    <row r="64" spans="1:21" s="54" customFormat="1" ht="12" outlineLevel="1">
      <c r="A64" s="31" t="s">
        <v>155</v>
      </c>
      <c r="B64" s="146" t="s">
        <v>24</v>
      </c>
      <c r="C64" s="132">
        <f>D64/D80</f>
        <v>0</v>
      </c>
      <c r="D64" s="172">
        <f t="shared" si="21"/>
        <v>0</v>
      </c>
      <c r="E64" s="180">
        <v>0</v>
      </c>
      <c r="F64" s="105"/>
      <c r="G64" s="72"/>
      <c r="H64" s="118"/>
      <c r="I64" s="72"/>
      <c r="J64" s="72"/>
      <c r="K64" s="244"/>
      <c r="L64" s="244"/>
      <c r="M64" s="244"/>
      <c r="N64" s="244"/>
      <c r="O64" s="244"/>
      <c r="P64" s="244"/>
      <c r="Q64" s="244"/>
      <c r="R64" s="72"/>
      <c r="S64" s="105"/>
      <c r="T64" s="126">
        <f t="shared" si="13"/>
        <v>0</v>
      </c>
      <c r="U64" s="126">
        <f t="shared" si="2"/>
        <v>0</v>
      </c>
    </row>
    <row r="65" spans="1:21" s="54" customFormat="1" ht="12" outlineLevel="1">
      <c r="A65" s="181" t="s">
        <v>156</v>
      </c>
      <c r="B65" s="176" t="s">
        <v>182</v>
      </c>
      <c r="C65" s="132">
        <f>D65/D80</f>
        <v>4.0139927788269913E-2</v>
      </c>
      <c r="D65" s="172">
        <f t="shared" si="21"/>
        <v>1000</v>
      </c>
      <c r="E65" s="175">
        <v>12000</v>
      </c>
      <c r="F65" s="131"/>
      <c r="G65" s="72"/>
      <c r="H65" s="72"/>
      <c r="I65" s="72"/>
      <c r="J65" s="72"/>
      <c r="K65" s="244"/>
      <c r="L65" s="241"/>
      <c r="M65" s="244"/>
      <c r="N65" s="244"/>
      <c r="O65" s="241"/>
      <c r="P65" s="244"/>
      <c r="Q65" s="244"/>
      <c r="R65" s="90"/>
      <c r="S65" s="131"/>
      <c r="T65" s="126">
        <f t="shared" si="13"/>
        <v>0</v>
      </c>
      <c r="U65" s="126">
        <f t="shared" si="2"/>
        <v>12000</v>
      </c>
    </row>
    <row r="66" spans="1:21" s="54" customFormat="1" outlineLevel="1" thickBot="1">
      <c r="A66" s="182" t="s">
        <v>157</v>
      </c>
      <c r="B66" s="190" t="s">
        <v>183</v>
      </c>
      <c r="C66" s="183">
        <f>D66/D80</f>
        <v>1.0034981947067478</v>
      </c>
      <c r="D66" s="184">
        <f t="shared" si="16"/>
        <v>25000</v>
      </c>
      <c r="E66" s="189">
        <v>300000</v>
      </c>
      <c r="F66" s="227"/>
      <c r="G66" s="93"/>
      <c r="H66" s="93"/>
      <c r="I66" s="93"/>
      <c r="J66" s="93"/>
      <c r="K66" s="247"/>
      <c r="L66" s="242">
        <f>172141.67+30000</f>
        <v>202141.67</v>
      </c>
      <c r="M66" s="247"/>
      <c r="N66" s="247"/>
      <c r="O66" s="242"/>
      <c r="P66" s="247"/>
      <c r="Q66" s="247"/>
      <c r="R66" s="91">
        <f>64000</f>
        <v>64000</v>
      </c>
      <c r="S66" s="227">
        <v>64000</v>
      </c>
      <c r="T66" s="141">
        <f t="shared" si="13"/>
        <v>330141.67000000004</v>
      </c>
      <c r="U66" s="126">
        <f t="shared" si="2"/>
        <v>-30141.670000000042</v>
      </c>
    </row>
    <row r="67" spans="1:21" ht="13.5" thickBot="1">
      <c r="A67" s="26">
        <v>13</v>
      </c>
      <c r="B67" s="6" t="s">
        <v>26</v>
      </c>
      <c r="C67" s="36">
        <f>D67/D80</f>
        <v>1.0677220791679796E-2</v>
      </c>
      <c r="D67" s="161">
        <f t="shared" si="16"/>
        <v>266</v>
      </c>
      <c r="E67" s="63">
        <v>3192</v>
      </c>
      <c r="F67" s="228"/>
      <c r="G67" s="88"/>
      <c r="H67" s="88"/>
      <c r="I67" s="88">
        <v>940</v>
      </c>
      <c r="J67" s="88"/>
      <c r="K67" s="239"/>
      <c r="L67" s="239"/>
      <c r="M67" s="239"/>
      <c r="N67" s="239"/>
      <c r="O67" s="239">
        <f>940+21700</f>
        <v>22640</v>
      </c>
      <c r="P67" s="251">
        <f>72828</f>
        <v>72828</v>
      </c>
      <c r="Q67" s="239">
        <f>10051.2</f>
        <v>10051.200000000001</v>
      </c>
      <c r="R67" s="88">
        <v>11250</v>
      </c>
      <c r="S67" s="124"/>
      <c r="T67" s="144">
        <f t="shared" si="13"/>
        <v>117709.2</v>
      </c>
      <c r="U67" s="139">
        <f>E67-T67</f>
        <v>-114517.2</v>
      </c>
    </row>
    <row r="68" spans="1:21">
      <c r="A68" s="200">
        <v>14</v>
      </c>
      <c r="B68" s="201" t="s">
        <v>119</v>
      </c>
      <c r="C68" s="202">
        <f>D68/D80</f>
        <v>-2.7206542005430934</v>
      </c>
      <c r="D68" s="203">
        <f t="shared" si="16"/>
        <v>-67779.25</v>
      </c>
      <c r="E68" s="204">
        <f>SUM(E69:E75)</f>
        <v>-813351</v>
      </c>
      <c r="F68" s="205">
        <f>SUM(F69:F75)</f>
        <v>3000</v>
      </c>
      <c r="G68" s="206">
        <f>SUM(G69:G75)</f>
        <v>154255.38</v>
      </c>
      <c r="H68" s="207">
        <f>SUM(H69:H75)</f>
        <v>24038.720000000001</v>
      </c>
      <c r="I68" s="206">
        <f t="shared" ref="I68:S68" si="22">SUM(I69:I75)</f>
        <v>140686.76999999999</v>
      </c>
      <c r="J68" s="207">
        <f t="shared" si="22"/>
        <v>60776.92</v>
      </c>
      <c r="K68" s="252">
        <f t="shared" si="22"/>
        <v>6733.8099999999995</v>
      </c>
      <c r="L68" s="253">
        <f t="shared" si="22"/>
        <v>132116.39000000001</v>
      </c>
      <c r="M68" s="252">
        <f t="shared" si="22"/>
        <v>57735.68</v>
      </c>
      <c r="N68" s="253">
        <f t="shared" si="22"/>
        <v>4377.41</v>
      </c>
      <c r="O68" s="252">
        <f t="shared" si="22"/>
        <v>19149.21</v>
      </c>
      <c r="P68" s="253">
        <f>P69+P70+P71+P72+P73+P74+P75</f>
        <v>181350.56</v>
      </c>
      <c r="Q68" s="252">
        <f t="shared" si="22"/>
        <v>6654.8600000000006</v>
      </c>
      <c r="R68" s="207">
        <f t="shared" si="22"/>
        <v>22337.03</v>
      </c>
      <c r="S68" s="206">
        <f t="shared" si="22"/>
        <v>3500</v>
      </c>
      <c r="T68" s="174">
        <f>-SUM(G68:S68)</f>
        <v>-813712.74000000011</v>
      </c>
      <c r="U68" s="174">
        <f>E68-T68</f>
        <v>361.7400000001071</v>
      </c>
    </row>
    <row r="69" spans="1:21" outlineLevel="1">
      <c r="A69" s="208" t="s">
        <v>167</v>
      </c>
      <c r="B69" s="209" t="s">
        <v>171</v>
      </c>
      <c r="C69" s="210">
        <f>D69/D80</f>
        <v>-1.5762949642453594</v>
      </c>
      <c r="D69" s="211">
        <f t="shared" ref="D69:D75" si="23">E69/12</f>
        <v>-39270</v>
      </c>
      <c r="E69" s="212">
        <v>-471240</v>
      </c>
      <c r="F69" s="213"/>
      <c r="G69" s="213">
        <v>117810</v>
      </c>
      <c r="H69" s="214"/>
      <c r="I69" s="215">
        <v>117810</v>
      </c>
      <c r="J69" s="214"/>
      <c r="K69" s="254"/>
      <c r="L69" s="254">
        <v>117810</v>
      </c>
      <c r="M69" s="254"/>
      <c r="N69" s="254"/>
      <c r="O69" s="254"/>
      <c r="P69" s="254">
        <v>117810</v>
      </c>
      <c r="Q69" s="254"/>
      <c r="R69" s="214"/>
      <c r="S69" s="215"/>
      <c r="T69" s="173">
        <f>SUM(G69:S69)</f>
        <v>471240</v>
      </c>
      <c r="U69" s="173">
        <f>-E69-T69</f>
        <v>0</v>
      </c>
    </row>
    <row r="70" spans="1:21" outlineLevel="1">
      <c r="A70" s="216" t="s">
        <v>168</v>
      </c>
      <c r="B70" s="194" t="s">
        <v>172</v>
      </c>
      <c r="C70" s="217">
        <f>D70/D80</f>
        <v>-0.73292497646796739</v>
      </c>
      <c r="D70" s="218">
        <f t="shared" si="23"/>
        <v>-18259.25</v>
      </c>
      <c r="E70" s="219">
        <v>-219111</v>
      </c>
      <c r="F70" s="220"/>
      <c r="G70" s="185">
        <v>35178</v>
      </c>
      <c r="H70" s="185">
        <f>1833+18200</f>
        <v>20033</v>
      </c>
      <c r="I70" s="185"/>
      <c r="J70" s="185">
        <v>54600</v>
      </c>
      <c r="K70" s="255"/>
      <c r="L70" s="255"/>
      <c r="M70" s="255">
        <v>54600</v>
      </c>
      <c r="N70" s="255"/>
      <c r="O70" s="255"/>
      <c r="P70" s="255">
        <v>54600</v>
      </c>
      <c r="Q70" s="255"/>
      <c r="R70" s="185"/>
      <c r="S70" s="186"/>
      <c r="T70" s="157">
        <f>SUM(G70:S70)</f>
        <v>219011</v>
      </c>
      <c r="U70" s="157">
        <f>-E70-T70</f>
        <v>100</v>
      </c>
    </row>
    <row r="71" spans="1:21" outlineLevel="1">
      <c r="A71" s="216" t="s">
        <v>169</v>
      </c>
      <c r="B71" s="194" t="s">
        <v>197</v>
      </c>
      <c r="C71" s="217">
        <f>D71/D80</f>
        <v>-0.13045476531187722</v>
      </c>
      <c r="D71" s="218">
        <f t="shared" si="23"/>
        <v>-3250</v>
      </c>
      <c r="E71" s="219">
        <v>-39000</v>
      </c>
      <c r="F71" s="220"/>
      <c r="G71" s="185"/>
      <c r="H71" s="185"/>
      <c r="I71" s="185">
        <f>9000</f>
        <v>9000</v>
      </c>
      <c r="J71" s="185">
        <v>3000</v>
      </c>
      <c r="K71" s="255">
        <v>3000</v>
      </c>
      <c r="L71" s="255">
        <v>3000</v>
      </c>
      <c r="M71" s="255"/>
      <c r="N71" s="255"/>
      <c r="O71" s="255">
        <v>9000</v>
      </c>
      <c r="P71" s="255">
        <v>3000</v>
      </c>
      <c r="Q71" s="255">
        <v>3000</v>
      </c>
      <c r="R71" s="185">
        <v>3000</v>
      </c>
      <c r="S71" s="186"/>
      <c r="T71" s="173">
        <f t="shared" ref="T71:T75" si="24">SUM(G71:S71)</f>
        <v>36000</v>
      </c>
      <c r="U71" s="173">
        <f t="shared" ref="U71:U75" si="25">-E71-T71</f>
        <v>3000</v>
      </c>
    </row>
    <row r="72" spans="1:21" outlineLevel="1">
      <c r="A72" s="216" t="s">
        <v>170</v>
      </c>
      <c r="B72" s="194" t="s">
        <v>173</v>
      </c>
      <c r="C72" s="217">
        <f>D72/D80</f>
        <v>-0.12041978336480974</v>
      </c>
      <c r="D72" s="218">
        <f t="shared" si="23"/>
        <v>-3000</v>
      </c>
      <c r="E72" s="219">
        <v>-36000</v>
      </c>
      <c r="F72" s="220"/>
      <c r="G72" s="185"/>
      <c r="H72" s="185"/>
      <c r="I72" s="185">
        <v>9000</v>
      </c>
      <c r="J72" s="185"/>
      <c r="K72" s="255"/>
      <c r="L72" s="255">
        <v>9000</v>
      </c>
      <c r="M72" s="255"/>
      <c r="N72" s="255"/>
      <c r="O72" s="255">
        <v>9000</v>
      </c>
      <c r="P72" s="255"/>
      <c r="Q72" s="255"/>
      <c r="R72" s="185">
        <v>9000</v>
      </c>
      <c r="S72" s="186"/>
      <c r="T72" s="157">
        <f t="shared" si="24"/>
        <v>36000</v>
      </c>
      <c r="U72" s="157">
        <f t="shared" si="25"/>
        <v>0</v>
      </c>
    </row>
    <row r="73" spans="1:21" outlineLevel="1">
      <c r="A73" s="216" t="s">
        <v>175</v>
      </c>
      <c r="B73" s="194" t="s">
        <v>174</v>
      </c>
      <c r="C73" s="217">
        <f>D73/D80</f>
        <v>-6.020989168240487E-2</v>
      </c>
      <c r="D73" s="218">
        <f t="shared" si="23"/>
        <v>-1500</v>
      </c>
      <c r="E73" s="219">
        <v>-18000</v>
      </c>
      <c r="F73" s="186">
        <v>3000</v>
      </c>
      <c r="G73" s="185"/>
      <c r="H73" s="185"/>
      <c r="I73" s="185">
        <f>1500+1500</f>
        <v>3000</v>
      </c>
      <c r="J73" s="185">
        <v>1500</v>
      </c>
      <c r="K73" s="255">
        <v>1500</v>
      </c>
      <c r="L73" s="255"/>
      <c r="M73" s="255">
        <v>1500</v>
      </c>
      <c r="N73" s="255">
        <f>1500+1500</f>
        <v>3000</v>
      </c>
      <c r="O73" s="255"/>
      <c r="P73" s="255">
        <v>3000</v>
      </c>
      <c r="Q73" s="255"/>
      <c r="R73" s="185">
        <f>1500+1500</f>
        <v>3000</v>
      </c>
      <c r="S73" s="186"/>
      <c r="T73" s="173">
        <f t="shared" si="24"/>
        <v>16500</v>
      </c>
      <c r="U73" s="173">
        <f t="shared" si="25"/>
        <v>1500</v>
      </c>
    </row>
    <row r="74" spans="1:21" outlineLevel="1">
      <c r="A74" s="216" t="s">
        <v>176</v>
      </c>
      <c r="B74" s="194" t="s">
        <v>179</v>
      </c>
      <c r="C74" s="217">
        <f>D74/D80</f>
        <v>-0.10034981947067478</v>
      </c>
      <c r="D74" s="218">
        <f t="shared" si="23"/>
        <v>-2500</v>
      </c>
      <c r="E74" s="219">
        <v>-30000</v>
      </c>
      <c r="F74" s="220"/>
      <c r="G74" s="185">
        <v>1267.3800000000001</v>
      </c>
      <c r="H74" s="185">
        <v>1505.72</v>
      </c>
      <c r="I74" s="185">
        <v>1876.77</v>
      </c>
      <c r="J74" s="185">
        <v>1676.92</v>
      </c>
      <c r="K74" s="255">
        <v>2233.81</v>
      </c>
      <c r="L74" s="255">
        <v>2306.39</v>
      </c>
      <c r="M74" s="255">
        <v>1635.68</v>
      </c>
      <c r="N74" s="255">
        <v>1377.41</v>
      </c>
      <c r="O74" s="255">
        <v>1149.21</v>
      </c>
      <c r="P74" s="255">
        <v>1190.56</v>
      </c>
      <c r="Q74" s="255">
        <v>654.86</v>
      </c>
      <c r="R74" s="185">
        <v>837.03</v>
      </c>
      <c r="S74" s="186"/>
      <c r="T74" s="157">
        <f t="shared" si="24"/>
        <v>17711.739999999998</v>
      </c>
      <c r="U74" s="157">
        <f t="shared" si="25"/>
        <v>12288.260000000002</v>
      </c>
    </row>
    <row r="75" spans="1:21" ht="13.5" outlineLevel="1" thickBot="1">
      <c r="A75" s="221" t="s">
        <v>178</v>
      </c>
      <c r="B75" s="222" t="s">
        <v>177</v>
      </c>
      <c r="C75" s="223">
        <f>D75/D80</f>
        <v>0</v>
      </c>
      <c r="D75" s="224">
        <f t="shared" si="23"/>
        <v>0</v>
      </c>
      <c r="E75" s="225">
        <v>0</v>
      </c>
      <c r="F75" s="191"/>
      <c r="G75" s="213"/>
      <c r="H75" s="214">
        <v>2500</v>
      </c>
      <c r="I75" s="215"/>
      <c r="J75" s="214"/>
      <c r="K75" s="254"/>
      <c r="L75" s="254"/>
      <c r="M75" s="254"/>
      <c r="N75" s="254"/>
      <c r="O75" s="254"/>
      <c r="P75" s="255">
        <v>1750</v>
      </c>
      <c r="Q75" s="255">
        <v>3000</v>
      </c>
      <c r="R75" s="185">
        <f>3000+3500</f>
        <v>6500</v>
      </c>
      <c r="S75" s="186">
        <v>3500</v>
      </c>
      <c r="T75" s="173">
        <f t="shared" si="24"/>
        <v>17250</v>
      </c>
      <c r="U75" s="173">
        <f t="shared" si="25"/>
        <v>-17250</v>
      </c>
    </row>
    <row r="76" spans="1:21" ht="13.5" thickBot="1">
      <c r="A76" s="158">
        <v>15</v>
      </c>
      <c r="B76" s="159" t="s">
        <v>120</v>
      </c>
      <c r="C76" s="136">
        <f>D76/D80</f>
        <v>0.10034981947067478</v>
      </c>
      <c r="D76" s="160">
        <f t="shared" si="16"/>
        <v>2500</v>
      </c>
      <c r="E76" s="138">
        <v>30000</v>
      </c>
      <c r="F76" s="114">
        <v>4304</v>
      </c>
      <c r="G76" s="88"/>
      <c r="H76" s="88"/>
      <c r="I76" s="156"/>
      <c r="J76" s="88">
        <v>11714</v>
      </c>
      <c r="K76" s="239"/>
      <c r="L76" s="239"/>
      <c r="M76" s="239">
        <v>7721</v>
      </c>
      <c r="N76" s="239"/>
      <c r="O76" s="239"/>
      <c r="P76" s="239"/>
      <c r="Q76" s="239"/>
      <c r="R76" s="88"/>
      <c r="S76" s="114"/>
      <c r="T76" s="139">
        <f>SUM(G76:S76)</f>
        <v>19435</v>
      </c>
      <c r="U76" s="139">
        <f>E76-T76</f>
        <v>10565</v>
      </c>
    </row>
    <row r="77" spans="1:21" ht="13.5" thickBot="1">
      <c r="A77" s="158">
        <v>16</v>
      </c>
      <c r="B77" s="159" t="s">
        <v>203</v>
      </c>
      <c r="C77" s="230">
        <f>D77/D80</f>
        <v>0.37975716681685695</v>
      </c>
      <c r="D77" s="160">
        <f t="shared" si="16"/>
        <v>9460.8333333333339</v>
      </c>
      <c r="E77" s="63">
        <v>113530</v>
      </c>
      <c r="F77" s="233"/>
      <c r="G77" s="234"/>
      <c r="H77" s="235"/>
      <c r="I77" s="235"/>
      <c r="J77" s="235"/>
      <c r="K77" s="256"/>
      <c r="L77" s="256"/>
      <c r="M77" s="256"/>
      <c r="N77" s="256"/>
      <c r="O77" s="256"/>
      <c r="P77" s="256"/>
      <c r="Q77" s="256"/>
      <c r="R77" s="235"/>
      <c r="S77" s="236"/>
      <c r="T77" s="237">
        <f>E77</f>
        <v>113530</v>
      </c>
      <c r="U77" s="237">
        <f>E77-T77</f>
        <v>0</v>
      </c>
    </row>
    <row r="78" spans="1:21" ht="13.5" thickBot="1">
      <c r="A78" s="268" t="s">
        <v>27</v>
      </c>
      <c r="B78" s="269"/>
      <c r="C78" s="60">
        <f>D78/D80</f>
        <v>13.000001337997594</v>
      </c>
      <c r="D78" s="61">
        <f t="shared" si="16"/>
        <v>323867.08333333331</v>
      </c>
      <c r="E78" s="61">
        <v>3886405</v>
      </c>
      <c r="F78" s="109">
        <f>F5+F6+F7+F8+F9+F12+F15+F16+F23+F28+F43+F51+F67-F68+F76-F77</f>
        <v>45884.759999999995</v>
      </c>
      <c r="G78" s="109">
        <f>G5+G6+G7+G8+G9+G12+G15+G16+G23+G28+G43+G51+G67-G68+G76-G77</f>
        <v>-32181.700000000012</v>
      </c>
      <c r="H78" s="109">
        <f>H5+H6+H7+H8+H9+H12+H15+H16+H23+H28+H43+H51+H67-H68+H76-H77</f>
        <v>274099.68999999994</v>
      </c>
      <c r="I78" s="109">
        <f>I5+I6+I7+I8+I9+I12+I15+I16+I23+I28+I43+I51+I67-I68+J76-I77</f>
        <v>170465.93000000002</v>
      </c>
      <c r="J78" s="109">
        <f>J5+J6+J7+J8+J9+J12+J15+J16+J23+J28+J43+J51+J67-J68+K76-J77</f>
        <v>451065.93</v>
      </c>
      <c r="K78" s="109">
        <f t="shared" ref="K78:S78" si="26">K5+K6+K7+K8+K9+K12+K15+K16+K23+K28+K43+K51+K67-K68+K76-K77</f>
        <v>200003.26</v>
      </c>
      <c r="L78" s="109">
        <f t="shared" si="26"/>
        <v>477726.74000000011</v>
      </c>
      <c r="M78" s="109">
        <f t="shared" si="26"/>
        <v>296834.85999999993</v>
      </c>
      <c r="N78" s="109">
        <f t="shared" si="26"/>
        <v>356103.75999999995</v>
      </c>
      <c r="O78" s="109">
        <f t="shared" si="26"/>
        <v>366914.72000000003</v>
      </c>
      <c r="P78" s="109">
        <f t="shared" si="26"/>
        <v>285344.43</v>
      </c>
      <c r="Q78" s="109">
        <f t="shared" si="26"/>
        <v>367186.89000000007</v>
      </c>
      <c r="R78" s="109">
        <f t="shared" si="26"/>
        <v>484505.87999999989</v>
      </c>
      <c r="S78" s="109">
        <f t="shared" si="26"/>
        <v>146961.66</v>
      </c>
      <c r="T78" s="140">
        <f>T5+T6+T7+T8+T9+T12+T15+T16+T23+T28+T43+T51+T67+T68+T76+T77</f>
        <v>3958562.05</v>
      </c>
      <c r="U78" s="25">
        <f>U5+U6+U7+U8+U9+U12+U15+U16+U23+U28+U43+U51+U67+U68+U76+U77</f>
        <v>-72056.050000000032</v>
      </c>
    </row>
    <row r="79" spans="1:21" s="11" customFormat="1" ht="11.25">
      <c r="G79" s="112"/>
      <c r="H79" s="112"/>
      <c r="I79" s="112"/>
      <c r="J79" s="112"/>
      <c r="K79" s="112"/>
      <c r="L79" s="112"/>
      <c r="M79" s="112"/>
      <c r="R79" s="112"/>
    </row>
    <row r="80" spans="1:21">
      <c r="A80" s="113" t="s">
        <v>28</v>
      </c>
      <c r="B80" s="113"/>
      <c r="C80" s="34"/>
      <c r="D80" s="261">
        <v>24912.85</v>
      </c>
      <c r="E80" s="2" t="s">
        <v>29</v>
      </c>
      <c r="F80" s="110"/>
      <c r="K80" s="258"/>
      <c r="L80" s="258"/>
      <c r="M80" s="258"/>
      <c r="N80" s="258"/>
      <c r="O80" s="258"/>
      <c r="P80" s="258"/>
      <c r="Q80" s="258"/>
      <c r="T80" s="110"/>
    </row>
    <row r="81" spans="1:21" s="11" customFormat="1" ht="11.25">
      <c r="G81" s="111"/>
      <c r="T81" s="111"/>
      <c r="U81" s="111"/>
    </row>
    <row r="82" spans="1:21">
      <c r="A82" s="262" t="s">
        <v>205</v>
      </c>
      <c r="B82" s="262"/>
      <c r="C82" s="33"/>
      <c r="F82" s="110"/>
      <c r="G82" s="110"/>
      <c r="H82" s="110"/>
    </row>
    <row r="83" spans="1:21">
      <c r="A83" s="262" t="s">
        <v>166</v>
      </c>
      <c r="B83" s="262"/>
      <c r="C83" s="33"/>
      <c r="D83" s="35">
        <f>D78/D80</f>
        <v>13.000001337997594</v>
      </c>
      <c r="E83" s="2" t="s">
        <v>31</v>
      </c>
    </row>
    <row r="85" spans="1:21">
      <c r="B85" s="192"/>
    </row>
  </sheetData>
  <sheetProtection password="8515" sheet="1" objects="1" scenarios="1" selectLockedCells="1" selectUnlockedCells="1"/>
  <mergeCells count="7">
    <mergeCell ref="A82:B82"/>
    <mergeCell ref="A83:B83"/>
    <mergeCell ref="F3:R3"/>
    <mergeCell ref="A1:E1"/>
    <mergeCell ref="A2:E2"/>
    <mergeCell ref="A3:E3"/>
    <mergeCell ref="A78:B78"/>
  </mergeCells>
  <phoneticPr fontId="4" type="noConversion"/>
  <pageMargins left="0.78740157480314965" right="0.19685039370078741" top="0.19685039370078741" bottom="0.19685039370078741" header="0.51181102362204722" footer="0.51181102362204722"/>
  <pageSetup paperSize="9" scale="52" firstPageNumber="0" orientation="landscape" horizontalDpi="300" verticalDpi="300" r:id="rId1"/>
  <headerFooter alignWithMargins="0"/>
  <ignoredErrors>
    <ignoredError sqref="G51:H51 T7 T17:T18 T29:T31 T33 T59 T67 T76 E51 E68" formulaRange="1"/>
    <ignoredError sqref="D78 T19 T78 G12" formula="1"/>
    <ignoredError sqref="A64 A41:A42 A20:A22" twoDigitTextYear="1"/>
    <ignoredError sqref="T68" formula="1" formulaRange="1"/>
    <ignoredError sqref="A51 A43 A28 A23 A15:A16 A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>
      <selection activeCell="A2" sqref="A2:E2"/>
    </sheetView>
  </sheetViews>
  <sheetFormatPr defaultRowHeight="12.75"/>
  <cols>
    <col min="1" max="1" width="6.7109375" customWidth="1"/>
    <col min="2" max="2" width="76.28515625" customWidth="1"/>
    <col min="3" max="3" width="11.7109375" customWidth="1"/>
    <col min="4" max="4" width="10.28515625" customWidth="1"/>
    <col min="5" max="5" width="11.140625" customWidth="1"/>
  </cols>
  <sheetData>
    <row r="1" spans="1:5" ht="60.6" customHeight="1">
      <c r="C1" s="270" t="s">
        <v>162</v>
      </c>
      <c r="D1" s="270"/>
      <c r="E1" s="270"/>
    </row>
    <row r="2" spans="1:5">
      <c r="A2" s="266" t="s">
        <v>0</v>
      </c>
      <c r="B2" s="266"/>
      <c r="C2" s="266"/>
      <c r="D2" s="266"/>
      <c r="E2" s="266"/>
    </row>
    <row r="3" spans="1:5">
      <c r="A3" s="266" t="s">
        <v>116</v>
      </c>
      <c r="B3" s="266"/>
      <c r="C3" s="266"/>
      <c r="D3" s="266"/>
      <c r="E3" s="266"/>
    </row>
    <row r="4" spans="1:5" ht="13.5" thickBot="1">
      <c r="A4" s="267"/>
      <c r="B4" s="267"/>
      <c r="C4" s="267"/>
      <c r="D4" s="267"/>
      <c r="E4" s="267"/>
    </row>
    <row r="5" spans="1:5" ht="39" thickBot="1">
      <c r="A5" s="9" t="s">
        <v>1</v>
      </c>
      <c r="B5" s="10" t="s">
        <v>2</v>
      </c>
      <c r="C5" s="13" t="s">
        <v>161</v>
      </c>
      <c r="D5" s="13" t="s">
        <v>3</v>
      </c>
      <c r="E5" s="20" t="s">
        <v>4</v>
      </c>
    </row>
    <row r="6" spans="1:5" ht="13.5" thickBot="1">
      <c r="A6" s="26">
        <v>1</v>
      </c>
      <c r="B6" s="6" t="s">
        <v>106</v>
      </c>
      <c r="C6" s="36">
        <f>D6/D80</f>
        <v>4.2934603646293468</v>
      </c>
      <c r="D6" s="16">
        <f t="shared" ref="D6:D69" si="0">E6/12</f>
        <v>106915.75</v>
      </c>
      <c r="E6" s="63">
        <v>1282989</v>
      </c>
    </row>
    <row r="7" spans="1:5" ht="13.5" thickBot="1">
      <c r="A7" s="26">
        <v>2</v>
      </c>
      <c r="B7" s="6" t="s">
        <v>117</v>
      </c>
      <c r="C7" s="36">
        <f>D7/D80</f>
        <v>0.6812705806762509</v>
      </c>
      <c r="D7" s="16">
        <f t="shared" si="0"/>
        <v>16965</v>
      </c>
      <c r="E7" s="63">
        <v>203580</v>
      </c>
    </row>
    <row r="8" spans="1:5" ht="13.5" thickBot="1">
      <c r="A8" s="26">
        <v>3</v>
      </c>
      <c r="B8" s="6" t="s">
        <v>118</v>
      </c>
      <c r="C8" s="36">
        <f>D8/D80</f>
        <v>1.7402230075228229</v>
      </c>
      <c r="D8" s="16">
        <f t="shared" si="0"/>
        <v>43335.033333333333</v>
      </c>
      <c r="E8" s="63">
        <v>520020.4</v>
      </c>
    </row>
    <row r="9" spans="1:5" ht="13.5" thickBot="1">
      <c r="A9" s="26">
        <v>4</v>
      </c>
      <c r="B9" s="6" t="s">
        <v>105</v>
      </c>
      <c r="C9" s="36">
        <f>D9/D80</f>
        <v>0.13385805691644581</v>
      </c>
      <c r="D9" s="16">
        <f t="shared" si="0"/>
        <v>3333.3333333333335</v>
      </c>
      <c r="E9" s="63">
        <v>40000</v>
      </c>
    </row>
    <row r="10" spans="1:5">
      <c r="A10" s="130">
        <v>5</v>
      </c>
      <c r="B10" s="7" t="s">
        <v>5</v>
      </c>
      <c r="C10" s="37">
        <f>D10/D80</f>
        <v>3.0118062806200305E-2</v>
      </c>
      <c r="D10" s="17">
        <f t="shared" si="0"/>
        <v>750</v>
      </c>
      <c r="E10" s="64">
        <f>E11+E12</f>
        <v>9000</v>
      </c>
    </row>
    <row r="11" spans="1:5">
      <c r="A11" s="31" t="s">
        <v>45</v>
      </c>
      <c r="B11" s="43" t="s">
        <v>96</v>
      </c>
      <c r="C11" s="44">
        <f>D11/D80</f>
        <v>2.3425159960378018E-2</v>
      </c>
      <c r="D11" s="45">
        <f t="shared" si="0"/>
        <v>583.33333333333337</v>
      </c>
      <c r="E11" s="47">
        <v>7000</v>
      </c>
    </row>
    <row r="12" spans="1:5" ht="13.5" thickBot="1">
      <c r="A12" s="31" t="s">
        <v>46</v>
      </c>
      <c r="B12" s="50" t="s">
        <v>6</v>
      </c>
      <c r="C12" s="51">
        <f>D12/D80</f>
        <v>6.6929028458222895E-3</v>
      </c>
      <c r="D12" s="46">
        <f t="shared" si="0"/>
        <v>166.66666666666666</v>
      </c>
      <c r="E12" s="65">
        <v>2000</v>
      </c>
    </row>
    <row r="13" spans="1:5">
      <c r="A13" s="27" t="s">
        <v>107</v>
      </c>
      <c r="B13" s="7" t="s">
        <v>7</v>
      </c>
      <c r="C13" s="37">
        <f>D13/D80</f>
        <v>0.15393676545391269</v>
      </c>
      <c r="D13" s="17">
        <f t="shared" si="0"/>
        <v>3833.3333333333335</v>
      </c>
      <c r="E13" s="64">
        <f>SUM(E14:E15)</f>
        <v>46000</v>
      </c>
    </row>
    <row r="14" spans="1:5">
      <c r="A14" s="31" t="s">
        <v>131</v>
      </c>
      <c r="B14" s="67" t="s">
        <v>8</v>
      </c>
      <c r="C14" s="44">
        <f>D14/D80</f>
        <v>0.12047225122480122</v>
      </c>
      <c r="D14" s="45">
        <f t="shared" si="0"/>
        <v>3000</v>
      </c>
      <c r="E14" s="47">
        <v>36000</v>
      </c>
    </row>
    <row r="15" spans="1:5">
      <c r="A15" s="31" t="s">
        <v>132</v>
      </c>
      <c r="B15" s="43" t="s">
        <v>9</v>
      </c>
      <c r="C15" s="44">
        <f>D15/D80</f>
        <v>3.3464514229111453E-2</v>
      </c>
      <c r="D15" s="45">
        <f t="shared" si="0"/>
        <v>833.33333333333337</v>
      </c>
      <c r="E15" s="47">
        <f>E16+E17</f>
        <v>10000</v>
      </c>
    </row>
    <row r="16" spans="1:5">
      <c r="A16" s="29" t="s">
        <v>133</v>
      </c>
      <c r="B16" s="3" t="s">
        <v>10</v>
      </c>
      <c r="C16" s="38"/>
      <c r="D16" s="18">
        <f t="shared" si="0"/>
        <v>250</v>
      </c>
      <c r="E16" s="78">
        <v>3000</v>
      </c>
    </row>
    <row r="17" spans="1:5" ht="13.5" thickBot="1">
      <c r="A17" s="30" t="s">
        <v>134</v>
      </c>
      <c r="B17" s="4" t="s">
        <v>71</v>
      </c>
      <c r="C17" s="39"/>
      <c r="D17" s="19">
        <f t="shared" si="0"/>
        <v>583.33333333333337</v>
      </c>
      <c r="E17" s="79">
        <v>7000</v>
      </c>
    </row>
    <row r="18" spans="1:5" ht="13.5" thickBot="1">
      <c r="A18" s="28" t="s">
        <v>108</v>
      </c>
      <c r="B18" s="6" t="s">
        <v>11</v>
      </c>
      <c r="C18" s="36">
        <f>D18/D80</f>
        <v>1.6732257114555726E-2</v>
      </c>
      <c r="D18" s="16">
        <f t="shared" si="0"/>
        <v>416.66666666666669</v>
      </c>
      <c r="E18" s="63">
        <v>5000</v>
      </c>
    </row>
    <row r="19" spans="1:5">
      <c r="A19" s="27" t="s">
        <v>109</v>
      </c>
      <c r="B19" s="7" t="s">
        <v>69</v>
      </c>
      <c r="C19" s="37">
        <f>D19/D80</f>
        <v>0.14356276604288812</v>
      </c>
      <c r="D19" s="17">
        <f t="shared" si="0"/>
        <v>3575</v>
      </c>
      <c r="E19" s="64">
        <f>SUM(E20:E22)</f>
        <v>42900</v>
      </c>
    </row>
    <row r="20" spans="1:5">
      <c r="A20" s="31" t="s">
        <v>47</v>
      </c>
      <c r="B20" s="43" t="s">
        <v>88</v>
      </c>
      <c r="C20" s="44">
        <f>D20/D80</f>
        <v>5.0196771343667172E-2</v>
      </c>
      <c r="D20" s="45">
        <f t="shared" si="0"/>
        <v>1250</v>
      </c>
      <c r="E20" s="47">
        <v>15000</v>
      </c>
    </row>
    <row r="21" spans="1:5">
      <c r="A21" s="31" t="s">
        <v>48</v>
      </c>
      <c r="B21" s="43" t="s">
        <v>72</v>
      </c>
      <c r="C21" s="44">
        <f>D21/D80</f>
        <v>2.007870853746687E-2</v>
      </c>
      <c r="D21" s="45">
        <f t="shared" si="0"/>
        <v>500</v>
      </c>
      <c r="E21" s="47">
        <v>6000</v>
      </c>
    </row>
    <row r="22" spans="1:5">
      <c r="A22" s="31" t="s">
        <v>49</v>
      </c>
      <c r="B22" s="43" t="s">
        <v>68</v>
      </c>
      <c r="C22" s="44">
        <f>D22/D80</f>
        <v>7.3287286161754076E-2</v>
      </c>
      <c r="D22" s="45">
        <f t="shared" si="0"/>
        <v>1825</v>
      </c>
      <c r="E22" s="47">
        <f>SUM(E23:E25)</f>
        <v>21900</v>
      </c>
    </row>
    <row r="23" spans="1:5">
      <c r="A23" s="29" t="s">
        <v>135</v>
      </c>
      <c r="B23" s="3" t="s">
        <v>70</v>
      </c>
      <c r="C23" s="38"/>
      <c r="D23" s="18">
        <f t="shared" si="0"/>
        <v>75</v>
      </c>
      <c r="E23" s="78">
        <v>900</v>
      </c>
    </row>
    <row r="24" spans="1:5">
      <c r="A24" s="29" t="s">
        <v>136</v>
      </c>
      <c r="B24" s="73" t="s">
        <v>94</v>
      </c>
      <c r="C24" s="74"/>
      <c r="D24" s="75">
        <f t="shared" si="0"/>
        <v>500</v>
      </c>
      <c r="E24" s="80">
        <v>6000</v>
      </c>
    </row>
    <row r="25" spans="1:5" ht="13.5" thickBot="1">
      <c r="A25" s="29" t="s">
        <v>137</v>
      </c>
      <c r="B25" s="73" t="s">
        <v>93</v>
      </c>
      <c r="C25" s="74"/>
      <c r="D25" s="75">
        <f t="shared" si="0"/>
        <v>1250</v>
      </c>
      <c r="E25" s="80">
        <v>15000</v>
      </c>
    </row>
    <row r="26" spans="1:5">
      <c r="A26" s="27" t="s">
        <v>110</v>
      </c>
      <c r="B26" s="7" t="s">
        <v>12</v>
      </c>
      <c r="C26" s="37">
        <f>D26/D80</f>
        <v>8.7007736995689769E-2</v>
      </c>
      <c r="D26" s="17">
        <f t="shared" si="0"/>
        <v>2166.6666666666665</v>
      </c>
      <c r="E26" s="64">
        <f>SUM(E27:E31)</f>
        <v>26000</v>
      </c>
    </row>
    <row r="27" spans="1:5">
      <c r="A27" s="31" t="s">
        <v>50</v>
      </c>
      <c r="B27" s="43" t="s">
        <v>13</v>
      </c>
      <c r="C27" s="44">
        <f>D27/D80</f>
        <v>1.6732257114555726E-2</v>
      </c>
      <c r="D27" s="45">
        <f t="shared" si="0"/>
        <v>416.66666666666669</v>
      </c>
      <c r="E27" s="47">
        <v>5000</v>
      </c>
    </row>
    <row r="28" spans="1:5">
      <c r="A28" s="31" t="s">
        <v>51</v>
      </c>
      <c r="B28" s="43" t="s">
        <v>14</v>
      </c>
      <c r="C28" s="44">
        <f>D28/D80</f>
        <v>2.007870853746687E-2</v>
      </c>
      <c r="D28" s="45">
        <f t="shared" si="0"/>
        <v>500</v>
      </c>
      <c r="E28" s="47">
        <v>6000</v>
      </c>
    </row>
    <row r="29" spans="1:5">
      <c r="A29" s="31" t="s">
        <v>52</v>
      </c>
      <c r="B29" s="43" t="s">
        <v>15</v>
      </c>
      <c r="C29" s="44">
        <f>D29/D80</f>
        <v>2.007870853746687E-2</v>
      </c>
      <c r="D29" s="45">
        <f t="shared" si="0"/>
        <v>500</v>
      </c>
      <c r="E29" s="47">
        <v>6000</v>
      </c>
    </row>
    <row r="30" spans="1:5">
      <c r="A30" s="31" t="s">
        <v>53</v>
      </c>
      <c r="B30" s="43" t="s">
        <v>16</v>
      </c>
      <c r="C30" s="44">
        <f>D30/D80</f>
        <v>3.3464514229111448E-3</v>
      </c>
      <c r="D30" s="45">
        <f t="shared" si="0"/>
        <v>83.333333333333329</v>
      </c>
      <c r="E30" s="47">
        <v>1000</v>
      </c>
    </row>
    <row r="31" spans="1:5" ht="13.5" thickBot="1">
      <c r="A31" s="32" t="s">
        <v>54</v>
      </c>
      <c r="B31" s="50" t="s">
        <v>84</v>
      </c>
      <c r="C31" s="51">
        <f>D31/D80</f>
        <v>2.6771611383289158E-2</v>
      </c>
      <c r="D31" s="46">
        <f t="shared" si="0"/>
        <v>666.66666666666663</v>
      </c>
      <c r="E31" s="65">
        <v>8000</v>
      </c>
    </row>
    <row r="32" spans="1:5" ht="25.5">
      <c r="A32" s="27" t="s">
        <v>111</v>
      </c>
      <c r="B32" s="8" t="s">
        <v>17</v>
      </c>
      <c r="C32" s="41">
        <f>D32/D80</f>
        <v>0.95005755896447397</v>
      </c>
      <c r="D32" s="42">
        <f t="shared" si="0"/>
        <v>23658.333333333332</v>
      </c>
      <c r="E32" s="81">
        <f>SUM(E33:E45)</f>
        <v>283900</v>
      </c>
    </row>
    <row r="33" spans="1:5">
      <c r="A33" s="31" t="s">
        <v>56</v>
      </c>
      <c r="B33" s="43" t="s">
        <v>99</v>
      </c>
      <c r="C33" s="44">
        <f>D33/D80</f>
        <v>4.8188900489920486E-2</v>
      </c>
      <c r="D33" s="45">
        <f t="shared" si="0"/>
        <v>1200</v>
      </c>
      <c r="E33" s="47">
        <v>14400</v>
      </c>
    </row>
    <row r="34" spans="1:5">
      <c r="A34" s="31" t="s">
        <v>57</v>
      </c>
      <c r="B34" s="76" t="s">
        <v>55</v>
      </c>
      <c r="C34" s="44">
        <f>D34/D80</f>
        <v>0.16732257114555726</v>
      </c>
      <c r="D34" s="45">
        <f t="shared" si="0"/>
        <v>4166.666666666667</v>
      </c>
      <c r="E34" s="47">
        <v>50000</v>
      </c>
    </row>
    <row r="35" spans="1:5">
      <c r="A35" s="31" t="s">
        <v>58</v>
      </c>
      <c r="B35" s="77" t="s">
        <v>18</v>
      </c>
      <c r="C35" s="44">
        <f>D35/D80</f>
        <v>0.10039354268733434</v>
      </c>
      <c r="D35" s="45">
        <f t="shared" si="0"/>
        <v>2500</v>
      </c>
      <c r="E35" s="47">
        <v>30000</v>
      </c>
    </row>
    <row r="36" spans="1:5">
      <c r="A36" s="31" t="s">
        <v>73</v>
      </c>
      <c r="B36" s="43" t="s">
        <v>19</v>
      </c>
      <c r="C36" s="44">
        <f>D36/D80</f>
        <v>0.10039354268733434</v>
      </c>
      <c r="D36" s="45">
        <f t="shared" si="0"/>
        <v>2500</v>
      </c>
      <c r="E36" s="47">
        <v>30000</v>
      </c>
    </row>
    <row r="37" spans="1:5">
      <c r="A37" s="31" t="s">
        <v>75</v>
      </c>
      <c r="B37" s="43" t="s">
        <v>20</v>
      </c>
      <c r="C37" s="44">
        <f>D37/D80</f>
        <v>2.007870853746687E-2</v>
      </c>
      <c r="D37" s="45">
        <f t="shared" si="0"/>
        <v>500</v>
      </c>
      <c r="E37" s="47">
        <v>6000</v>
      </c>
    </row>
    <row r="38" spans="1:5">
      <c r="A38" s="31" t="s">
        <v>79</v>
      </c>
      <c r="B38" s="43" t="s">
        <v>100</v>
      </c>
      <c r="C38" s="44">
        <f>D38/D83</f>
        <v>22.727269961610727</v>
      </c>
      <c r="D38" s="45">
        <f t="shared" si="0"/>
        <v>250</v>
      </c>
      <c r="E38" s="47">
        <v>3000</v>
      </c>
    </row>
    <row r="39" spans="1:5">
      <c r="A39" s="31" t="s">
        <v>82</v>
      </c>
      <c r="B39" s="43" t="s">
        <v>101</v>
      </c>
      <c r="C39" s="44">
        <f>D39/D83</f>
        <v>22.727269961610727</v>
      </c>
      <c r="D39" s="45">
        <f t="shared" si="0"/>
        <v>250</v>
      </c>
      <c r="E39" s="47">
        <v>3000</v>
      </c>
    </row>
    <row r="40" spans="1:5">
      <c r="A40" s="31" t="s">
        <v>103</v>
      </c>
      <c r="B40" s="43" t="s">
        <v>21</v>
      </c>
      <c r="C40" s="44">
        <f>D40/D80</f>
        <v>4.0157417074933741E-2</v>
      </c>
      <c r="D40" s="45">
        <f t="shared" si="0"/>
        <v>1000</v>
      </c>
      <c r="E40" s="47">
        <v>12000</v>
      </c>
    </row>
    <row r="41" spans="1:5">
      <c r="A41" s="31" t="s">
        <v>138</v>
      </c>
      <c r="B41" s="43" t="s">
        <v>22</v>
      </c>
      <c r="C41" s="44">
        <f>D41/D80</f>
        <v>2.6771611383289158E-2</v>
      </c>
      <c r="D41" s="45">
        <f t="shared" si="0"/>
        <v>666.66666666666663</v>
      </c>
      <c r="E41" s="47">
        <v>8000</v>
      </c>
    </row>
    <row r="42" spans="1:5">
      <c r="A42" s="31" t="s">
        <v>139</v>
      </c>
      <c r="B42" s="43" t="s">
        <v>81</v>
      </c>
      <c r="C42" s="44">
        <f>D42/D80</f>
        <v>0.12047225122480122</v>
      </c>
      <c r="D42" s="45">
        <f t="shared" si="0"/>
        <v>3000</v>
      </c>
      <c r="E42" s="47">
        <v>36000</v>
      </c>
    </row>
    <row r="43" spans="1:5">
      <c r="A43" s="31" t="s">
        <v>140</v>
      </c>
      <c r="B43" s="67" t="s">
        <v>78</v>
      </c>
      <c r="C43" s="44">
        <f>D43/D80</f>
        <v>0.12716515407062351</v>
      </c>
      <c r="D43" s="45">
        <f t="shared" si="0"/>
        <v>3166.6666666666665</v>
      </c>
      <c r="E43" s="47">
        <v>38000</v>
      </c>
    </row>
    <row r="44" spans="1:5">
      <c r="A44" s="31" t="s">
        <v>141</v>
      </c>
      <c r="B44" s="43" t="s">
        <v>23</v>
      </c>
      <c r="C44" s="44">
        <f>D44/D80</f>
        <v>9.5373865552967632E-2</v>
      </c>
      <c r="D44" s="45">
        <f t="shared" si="0"/>
        <v>2375</v>
      </c>
      <c r="E44" s="47">
        <v>28500</v>
      </c>
    </row>
    <row r="45" spans="1:5" ht="13.5" thickBot="1">
      <c r="A45" s="31" t="s">
        <v>142</v>
      </c>
      <c r="B45" s="54" t="s">
        <v>90</v>
      </c>
      <c r="C45" s="133">
        <f>D45/D80</f>
        <v>8.3661285572778632E-2</v>
      </c>
      <c r="D45" s="45">
        <f t="shared" si="0"/>
        <v>2083.3333333333335</v>
      </c>
      <c r="E45" s="47">
        <v>25000</v>
      </c>
    </row>
    <row r="46" spans="1:5">
      <c r="A46" s="27" t="s">
        <v>112</v>
      </c>
      <c r="B46" s="7" t="s">
        <v>102</v>
      </c>
      <c r="C46" s="37">
        <f>D46/D80</f>
        <v>1.5494070088078602</v>
      </c>
      <c r="D46" s="17">
        <f t="shared" si="0"/>
        <v>38583.333333333336</v>
      </c>
      <c r="E46" s="64">
        <f>SUM(E47:E54)</f>
        <v>463000</v>
      </c>
    </row>
    <row r="47" spans="1:5">
      <c r="A47" s="31" t="s">
        <v>59</v>
      </c>
      <c r="B47" s="43" t="s">
        <v>80</v>
      </c>
      <c r="C47" s="44">
        <f>D47/D80</f>
        <v>6.6929028458222906E-2</v>
      </c>
      <c r="D47" s="45">
        <f t="shared" si="0"/>
        <v>1666.6666666666667</v>
      </c>
      <c r="E47" s="47">
        <v>20000</v>
      </c>
    </row>
    <row r="48" spans="1:5">
      <c r="A48" s="31" t="s">
        <v>60</v>
      </c>
      <c r="B48" s="43" t="s">
        <v>87</v>
      </c>
      <c r="C48" s="44">
        <f>D48/D80</f>
        <v>0.20078708537466869</v>
      </c>
      <c r="D48" s="45">
        <f t="shared" si="0"/>
        <v>5000</v>
      </c>
      <c r="E48" s="47">
        <v>60000</v>
      </c>
    </row>
    <row r="49" spans="1:5">
      <c r="A49" s="31" t="s">
        <v>61</v>
      </c>
      <c r="B49" s="43" t="s">
        <v>77</v>
      </c>
      <c r="C49" s="44">
        <f>D49/D80</f>
        <v>0</v>
      </c>
      <c r="D49" s="45">
        <f t="shared" si="0"/>
        <v>0</v>
      </c>
      <c r="E49" s="47">
        <v>0</v>
      </c>
    </row>
    <row r="50" spans="1:5">
      <c r="A50" s="31" t="s">
        <v>62</v>
      </c>
      <c r="B50" s="43" t="s">
        <v>25</v>
      </c>
      <c r="C50" s="44">
        <f>D50/D80</f>
        <v>8.3661285572778632E-2</v>
      </c>
      <c r="D50" s="45">
        <f t="shared" si="0"/>
        <v>2083.3333333333335</v>
      </c>
      <c r="E50" s="47">
        <v>25000</v>
      </c>
    </row>
    <row r="51" spans="1:5">
      <c r="A51" s="31" t="s">
        <v>63</v>
      </c>
      <c r="B51" s="67" t="s">
        <v>76</v>
      </c>
      <c r="C51" s="44">
        <f>D51/D80</f>
        <v>1.6732257114555726E-2</v>
      </c>
      <c r="D51" s="45">
        <f t="shared" si="0"/>
        <v>416.66666666666669</v>
      </c>
      <c r="E51" s="47">
        <v>5000</v>
      </c>
    </row>
    <row r="52" spans="1:5">
      <c r="A52" s="31" t="s">
        <v>64</v>
      </c>
      <c r="B52" s="43" t="s">
        <v>130</v>
      </c>
      <c r="C52" s="44">
        <f>D52/D80</f>
        <v>0.28444837094744729</v>
      </c>
      <c r="D52" s="45">
        <f>E52/12</f>
        <v>7083.333333333333</v>
      </c>
      <c r="E52" s="47">
        <v>85000</v>
      </c>
    </row>
    <row r="53" spans="1:5">
      <c r="A53" s="31" t="s">
        <v>65</v>
      </c>
      <c r="B53" s="43" t="s">
        <v>85</v>
      </c>
      <c r="C53" s="44">
        <f>D53/D80</f>
        <v>2.6771611383289158E-2</v>
      </c>
      <c r="D53" s="45">
        <f>E53/12</f>
        <v>666.66666666666663</v>
      </c>
      <c r="E53" s="47">
        <v>8000</v>
      </c>
    </row>
    <row r="54" spans="1:5" ht="13.5" thickBot="1">
      <c r="A54" s="31" t="s">
        <v>66</v>
      </c>
      <c r="B54" s="43" t="s">
        <v>121</v>
      </c>
      <c r="C54" s="44">
        <f>D54/D80</f>
        <v>0.87007736995689777</v>
      </c>
      <c r="D54" s="45">
        <f>E54/12</f>
        <v>21666.666666666668</v>
      </c>
      <c r="E54" s="47">
        <v>260000</v>
      </c>
    </row>
    <row r="55" spans="1:5">
      <c r="A55" s="27" t="s">
        <v>113</v>
      </c>
      <c r="B55" s="7" t="s">
        <v>127</v>
      </c>
      <c r="C55" s="37">
        <f>D55/D80</f>
        <v>4.6150208818568785</v>
      </c>
      <c r="D55" s="17">
        <f t="shared" si="0"/>
        <v>114923.25</v>
      </c>
      <c r="E55" s="64">
        <f>SUM(E56:E72)</f>
        <v>1379079</v>
      </c>
    </row>
    <row r="56" spans="1:5">
      <c r="A56" s="31" t="s">
        <v>143</v>
      </c>
      <c r="B56" s="43" t="s">
        <v>95</v>
      </c>
      <c r="C56" s="44">
        <f>D56/D80</f>
        <v>8.3661285572778632E-2</v>
      </c>
      <c r="D56" s="45">
        <f t="shared" si="0"/>
        <v>2083.3333333333335</v>
      </c>
      <c r="E56" s="47">
        <v>25000</v>
      </c>
    </row>
    <row r="57" spans="1:5">
      <c r="A57" s="31" t="s">
        <v>144</v>
      </c>
      <c r="B57" s="67" t="s">
        <v>91</v>
      </c>
      <c r="C57" s="44">
        <f>D57/D80</f>
        <v>0.26771611383289162</v>
      </c>
      <c r="D57" s="45">
        <f t="shared" si="0"/>
        <v>6666.666666666667</v>
      </c>
      <c r="E57" s="47">
        <v>80000</v>
      </c>
    </row>
    <row r="58" spans="1:5">
      <c r="A58" s="31" t="s">
        <v>145</v>
      </c>
      <c r="B58" s="43" t="s">
        <v>122</v>
      </c>
      <c r="C58" s="44">
        <f>D58/D80</f>
        <v>0.10039354268733434</v>
      </c>
      <c r="D58" s="45">
        <f t="shared" si="0"/>
        <v>2500</v>
      </c>
      <c r="E58" s="47">
        <v>30000</v>
      </c>
    </row>
    <row r="59" spans="1:5">
      <c r="A59" s="31" t="s">
        <v>146</v>
      </c>
      <c r="B59" s="43" t="s">
        <v>125</v>
      </c>
      <c r="C59" s="44">
        <f>D59/D80</f>
        <v>6.0236125612400611E-2</v>
      </c>
      <c r="D59" s="45">
        <f t="shared" si="0"/>
        <v>1500</v>
      </c>
      <c r="E59" s="47">
        <v>18000</v>
      </c>
    </row>
    <row r="60" spans="1:5">
      <c r="A60" s="31" t="s">
        <v>147</v>
      </c>
      <c r="B60" s="67" t="s">
        <v>123</v>
      </c>
      <c r="C60" s="44">
        <f>D60/D80</f>
        <v>0.53543222766578324</v>
      </c>
      <c r="D60" s="45">
        <f t="shared" si="0"/>
        <v>13333.333333333334</v>
      </c>
      <c r="E60" s="47">
        <v>160000</v>
      </c>
    </row>
    <row r="61" spans="1:5">
      <c r="A61" s="31" t="s">
        <v>148</v>
      </c>
      <c r="B61" s="67" t="s">
        <v>160</v>
      </c>
      <c r="C61" s="44">
        <f>D61/D80</f>
        <v>0.33464514229111453</v>
      </c>
      <c r="D61" s="45">
        <f t="shared" si="0"/>
        <v>8333.3333333333339</v>
      </c>
      <c r="E61" s="47">
        <v>100000</v>
      </c>
    </row>
    <row r="62" spans="1:5">
      <c r="A62" s="31" t="s">
        <v>149</v>
      </c>
      <c r="B62" s="43" t="s">
        <v>74</v>
      </c>
      <c r="C62" s="44">
        <f>D62/D80</f>
        <v>1.3385805691644579E-2</v>
      </c>
      <c r="D62" s="45">
        <f t="shared" si="0"/>
        <v>333.33333333333331</v>
      </c>
      <c r="E62" s="47">
        <v>4000</v>
      </c>
    </row>
    <row r="63" spans="1:5">
      <c r="A63" s="31" t="s">
        <v>150</v>
      </c>
      <c r="B63" s="67" t="s">
        <v>98</v>
      </c>
      <c r="C63" s="44">
        <f>D63/D80</f>
        <v>2.8110191952453619E-2</v>
      </c>
      <c r="D63" s="45">
        <f t="shared" si="0"/>
        <v>700</v>
      </c>
      <c r="E63" s="47">
        <v>8400</v>
      </c>
    </row>
    <row r="64" spans="1:5">
      <c r="A64" s="31" t="s">
        <v>151</v>
      </c>
      <c r="B64" s="43" t="s">
        <v>97</v>
      </c>
      <c r="C64" s="44">
        <f>D64/D80</f>
        <v>0.10708644553315663</v>
      </c>
      <c r="D64" s="45">
        <f t="shared" si="0"/>
        <v>2666.6666666666665</v>
      </c>
      <c r="E64" s="47">
        <v>32000</v>
      </c>
    </row>
    <row r="65" spans="1:5">
      <c r="A65" s="31" t="s">
        <v>152</v>
      </c>
      <c r="B65" s="43" t="s">
        <v>83</v>
      </c>
      <c r="C65" s="44">
        <f>D65/D80</f>
        <v>2.6771611383289158E-2</v>
      </c>
      <c r="D65" s="45">
        <f t="shared" si="0"/>
        <v>666.66666666666663</v>
      </c>
      <c r="E65" s="47">
        <v>8000</v>
      </c>
    </row>
    <row r="66" spans="1:5">
      <c r="A66" s="31" t="s">
        <v>153</v>
      </c>
      <c r="B66" s="48" t="s">
        <v>126</v>
      </c>
      <c r="C66" s="44">
        <f>D66/D80</f>
        <v>8.3661285572778632E-2</v>
      </c>
      <c r="D66" s="49">
        <f t="shared" si="0"/>
        <v>2083.3333333333335</v>
      </c>
      <c r="E66" s="82">
        <v>25000</v>
      </c>
    </row>
    <row r="67" spans="1:5">
      <c r="A67" s="31" t="s">
        <v>154</v>
      </c>
      <c r="B67" s="48" t="s">
        <v>86</v>
      </c>
      <c r="C67" s="44">
        <f>D67/D80</f>
        <v>0.21751934248922444</v>
      </c>
      <c r="D67" s="49">
        <f t="shared" si="0"/>
        <v>5416.666666666667</v>
      </c>
      <c r="E67" s="82">
        <v>65000</v>
      </c>
    </row>
    <row r="68" spans="1:5">
      <c r="A68" s="31" t="s">
        <v>155</v>
      </c>
      <c r="B68" s="76" t="s">
        <v>24</v>
      </c>
      <c r="C68" s="97">
        <f>D68/D80</f>
        <v>2.3425159960378018E-2</v>
      </c>
      <c r="D68" s="98">
        <f t="shared" si="0"/>
        <v>583.33333333333337</v>
      </c>
      <c r="E68" s="99">
        <v>7000</v>
      </c>
    </row>
    <row r="69" spans="1:5">
      <c r="A69" s="31" t="s">
        <v>156</v>
      </c>
      <c r="B69" s="100" t="s">
        <v>124</v>
      </c>
      <c r="C69" s="101">
        <f>D69/D80</f>
        <v>0.93700639841512057</v>
      </c>
      <c r="D69" s="102">
        <f t="shared" si="0"/>
        <v>23333.333333333332</v>
      </c>
      <c r="E69" s="125">
        <v>280000</v>
      </c>
    </row>
    <row r="70" spans="1:5">
      <c r="A70" s="31" t="s">
        <v>157</v>
      </c>
      <c r="B70" s="100" t="s">
        <v>129</v>
      </c>
      <c r="C70" s="101">
        <f>D70/D80</f>
        <v>1.6397611972264612</v>
      </c>
      <c r="D70" s="102">
        <f t="shared" ref="D70:D78" si="1">E70/12</f>
        <v>40833.333333333336</v>
      </c>
      <c r="E70" s="125">
        <v>490000</v>
      </c>
    </row>
    <row r="71" spans="1:5">
      <c r="A71" s="31" t="s">
        <v>158</v>
      </c>
      <c r="B71" s="127" t="s">
        <v>128</v>
      </c>
      <c r="C71" s="132">
        <f>D71/D80</f>
        <v>0.13613029743260247</v>
      </c>
      <c r="D71" s="128">
        <f t="shared" si="1"/>
        <v>3389.9166666666665</v>
      </c>
      <c r="E71" s="125">
        <v>40679</v>
      </c>
    </row>
    <row r="72" spans="1:5" ht="13.5" thickBot="1">
      <c r="A72" s="31" t="s">
        <v>159</v>
      </c>
      <c r="B72" s="67" t="s">
        <v>104</v>
      </c>
      <c r="C72" s="95">
        <f>D72/D80</f>
        <v>2.007870853746687E-2</v>
      </c>
      <c r="D72" s="96">
        <f t="shared" si="1"/>
        <v>500</v>
      </c>
      <c r="E72" s="129">
        <v>6000</v>
      </c>
    </row>
    <row r="73" spans="1:5" ht="13.5" thickBot="1">
      <c r="A73" s="26">
        <v>13</v>
      </c>
      <c r="B73" s="5" t="s">
        <v>92</v>
      </c>
      <c r="C73" s="40">
        <f>D73/D80</f>
        <v>0</v>
      </c>
      <c r="D73" s="16">
        <f t="shared" si="1"/>
        <v>0</v>
      </c>
      <c r="E73" s="63">
        <v>0</v>
      </c>
    </row>
    <row r="74" spans="1:5" ht="13.5" thickBot="1">
      <c r="A74" s="26">
        <v>14</v>
      </c>
      <c r="B74" s="6" t="s">
        <v>26</v>
      </c>
      <c r="C74" s="36">
        <f>D74/D80</f>
        <v>3.3464514229111453E-2</v>
      </c>
      <c r="D74" s="16">
        <f t="shared" si="1"/>
        <v>833.33333333333337</v>
      </c>
      <c r="E74" s="63">
        <v>10000</v>
      </c>
    </row>
    <row r="75" spans="1:5" ht="13.5" thickBot="1">
      <c r="A75" s="57">
        <v>15</v>
      </c>
      <c r="B75" s="58" t="s">
        <v>119</v>
      </c>
      <c r="C75" s="83">
        <f>D75/D80</f>
        <v>1.350293149144647</v>
      </c>
      <c r="D75" s="56">
        <f t="shared" si="1"/>
        <v>33625</v>
      </c>
      <c r="E75" s="59">
        <v>403500</v>
      </c>
    </row>
    <row r="76" spans="1:5" ht="13.5" thickBot="1">
      <c r="A76" s="134">
        <v>16</v>
      </c>
      <c r="B76" s="135" t="s">
        <v>120</v>
      </c>
      <c r="C76" s="136">
        <f>D76/D80</f>
        <v>8.1017588948678818E-2</v>
      </c>
      <c r="D76" s="137">
        <f t="shared" si="1"/>
        <v>2017.5</v>
      </c>
      <c r="E76" s="138">
        <v>24210</v>
      </c>
    </row>
    <row r="77" spans="1:5" ht="13.5" thickBot="1">
      <c r="A77" s="57">
        <v>17</v>
      </c>
      <c r="B77" s="58" t="s">
        <v>114</v>
      </c>
      <c r="C77" s="55">
        <f>D77/D80</f>
        <v>2.1588426632399003</v>
      </c>
      <c r="D77" s="56">
        <f t="shared" si="1"/>
        <v>53759.5</v>
      </c>
      <c r="E77" s="59">
        <v>645114</v>
      </c>
    </row>
    <row r="78" spans="1:5" ht="13.5" thickBot="1">
      <c r="A78" s="268" t="s">
        <v>27</v>
      </c>
      <c r="B78" s="269"/>
      <c r="C78" s="60">
        <f>D78/D80</f>
        <v>11.000001338580571</v>
      </c>
      <c r="D78" s="61">
        <f t="shared" si="1"/>
        <v>273922.03333333338</v>
      </c>
      <c r="E78" s="62">
        <f>E6+E7+E8+E9+E10+E13+E18+E19+E26+E32+E46+E55+E73+E74-E75+E76-E77</f>
        <v>3287064.4000000004</v>
      </c>
    </row>
    <row r="79" spans="1:5">
      <c r="A79" s="11"/>
      <c r="B79" s="11"/>
      <c r="C79" s="11"/>
      <c r="D79" s="11"/>
      <c r="E79" s="11"/>
    </row>
    <row r="80" spans="1:5">
      <c r="A80" s="113" t="s">
        <v>28</v>
      </c>
      <c r="B80" s="113"/>
      <c r="C80" s="34"/>
      <c r="D80" s="1">
        <v>24902</v>
      </c>
      <c r="E80" s="2" t="s">
        <v>29</v>
      </c>
    </row>
    <row r="81" spans="1:5">
      <c r="A81" s="11"/>
      <c r="B81" s="11"/>
      <c r="C81" s="11"/>
      <c r="D81" s="11"/>
      <c r="E81" s="11"/>
    </row>
    <row r="82" spans="1:5">
      <c r="A82" s="262" t="s">
        <v>115</v>
      </c>
      <c r="B82" s="262"/>
      <c r="C82" s="33"/>
    </row>
    <row r="83" spans="1:5">
      <c r="A83" s="262" t="s">
        <v>30</v>
      </c>
      <c r="B83" s="262"/>
      <c r="C83" s="33"/>
      <c r="D83" s="35">
        <f>D78/D80</f>
        <v>11.000001338580571</v>
      </c>
      <c r="E83" s="2" t="s">
        <v>31</v>
      </c>
    </row>
  </sheetData>
  <mergeCells count="7">
    <mergeCell ref="A83:B83"/>
    <mergeCell ref="C1:E1"/>
    <mergeCell ref="A2:E2"/>
    <mergeCell ref="A3:E3"/>
    <mergeCell ref="A4:E4"/>
    <mergeCell ref="A78:B78"/>
    <mergeCell ref="A82:B82"/>
  </mergeCells>
  <pageMargins left="0.78740157480314965" right="0" top="0.19685039370078741" bottom="0.19685039370078741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Смета</vt:lpstr>
      <vt:lpstr>Лист1</vt:lpstr>
      <vt:lpstr>Смета!OLE_LINK3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2020-01-16T14:33:11Z</cp:lastPrinted>
  <dcterms:created xsi:type="dcterms:W3CDTF">2010-12-02T20:37:32Z</dcterms:created>
  <dcterms:modified xsi:type="dcterms:W3CDTF">2020-01-29T08:44:39Z</dcterms:modified>
</cp:coreProperties>
</file>