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0" windowWidth="15480" windowHeight="7110"/>
  </bookViews>
  <sheets>
    <sheet name="Смета" sheetId="1" r:id="rId1"/>
    <sheet name="Лист1" sheetId="7" r:id="rId2"/>
  </sheets>
  <definedNames>
    <definedName name="_xlnm._FilterDatabase" localSheetId="0" hidden="1">Смета!$A$1:$U$76</definedName>
    <definedName name="OLE_LINK3" localSheetId="0">Смета!$K$69</definedName>
    <definedName name="_xlnm.Print_Area" localSheetId="0">Смета!$A$1:$U$81</definedName>
  </definedNames>
  <calcPr calcId="144525" refMode="R1C1"/>
</workbook>
</file>

<file path=xl/calcChain.xml><?xml version="1.0" encoding="utf-8"?>
<calcChain xmlns="http://schemas.openxmlformats.org/spreadsheetml/2006/main">
  <c r="T19" i="1" l="1"/>
  <c r="T8" i="1" l="1"/>
  <c r="E77" i="1" l="1"/>
  <c r="H38" i="1" l="1"/>
  <c r="R23" i="1"/>
  <c r="T71" i="1" l="1"/>
  <c r="U71" i="1" s="1"/>
  <c r="T70" i="1"/>
  <c r="U70" i="1" s="1"/>
  <c r="R18" i="1" l="1"/>
  <c r="R47" i="1"/>
  <c r="R28" i="1"/>
  <c r="Q47" i="1" l="1"/>
  <c r="Q37" i="1"/>
  <c r="J63" i="1" l="1"/>
  <c r="I63" i="1"/>
  <c r="P37" i="1"/>
  <c r="U38" i="1" l="1"/>
  <c r="T38" i="1"/>
  <c r="P47" i="1" l="1"/>
  <c r="O23" i="1"/>
  <c r="O37" i="1"/>
  <c r="M23" i="1" l="1"/>
  <c r="M17" i="1"/>
  <c r="M37" i="1"/>
  <c r="L25" i="1"/>
  <c r="L47" i="1"/>
  <c r="L34" i="1"/>
  <c r="K71" i="1"/>
  <c r="K23" i="1"/>
  <c r="J23" i="1"/>
  <c r="J47" i="1"/>
  <c r="J13" i="1"/>
  <c r="J6" i="1" l="1"/>
  <c r="J5" i="1"/>
  <c r="I71" i="1" l="1"/>
  <c r="I47" i="1"/>
  <c r="H71" i="1" l="1"/>
  <c r="F7" i="1" l="1"/>
  <c r="F5" i="1"/>
  <c r="C70" i="1"/>
  <c r="D70" i="1"/>
  <c r="D38" i="1" l="1"/>
  <c r="C38" i="1" s="1"/>
  <c r="D71" i="1"/>
  <c r="C71" i="1" s="1"/>
  <c r="P64" i="1" l="1"/>
  <c r="Q64" i="1"/>
  <c r="S64" i="1"/>
  <c r="R64" i="1" l="1"/>
  <c r="N19" i="1" l="1"/>
  <c r="N16" i="1" l="1"/>
  <c r="N9" i="1"/>
  <c r="M19" i="1" l="1"/>
  <c r="M16" i="1" s="1"/>
  <c r="I12" i="1" l="1"/>
  <c r="G12" i="1" l="1"/>
  <c r="O49" i="1" l="1"/>
  <c r="F49" i="1" l="1"/>
  <c r="F41" i="1"/>
  <c r="F27" i="1"/>
  <c r="F22" i="1"/>
  <c r="F16" i="1"/>
  <c r="F12" i="1"/>
  <c r="F9" i="1"/>
  <c r="T5" i="1" l="1"/>
  <c r="U5" i="1" s="1"/>
  <c r="D7" i="1" l="1"/>
  <c r="T67" i="1" l="1"/>
  <c r="U67" i="1" s="1"/>
  <c r="T68" i="1"/>
  <c r="U68" i="1" s="1"/>
  <c r="T69" i="1"/>
  <c r="U69" i="1" s="1"/>
  <c r="T72" i="1"/>
  <c r="U72" i="1" s="1"/>
  <c r="T73" i="1"/>
  <c r="U73" i="1" s="1"/>
  <c r="T66" i="1"/>
  <c r="U66" i="1" s="1"/>
  <c r="T65" i="1"/>
  <c r="U65" i="1" s="1"/>
  <c r="I64" i="1"/>
  <c r="J64" i="1"/>
  <c r="K64" i="1"/>
  <c r="L64" i="1"/>
  <c r="M64" i="1"/>
  <c r="N64" i="1"/>
  <c r="O64" i="1"/>
  <c r="H64" i="1"/>
  <c r="G64" i="1"/>
  <c r="F64" i="1"/>
  <c r="E12" i="1" l="1"/>
  <c r="D72" i="1"/>
  <c r="C72" i="1" s="1"/>
  <c r="E64" i="1"/>
  <c r="D73" i="1"/>
  <c r="C73" i="1" s="1"/>
  <c r="D68" i="1"/>
  <c r="C68" i="1" s="1"/>
  <c r="D69" i="1"/>
  <c r="C69" i="1" s="1"/>
  <c r="D67" i="1"/>
  <c r="C67" i="1" s="1"/>
  <c r="D66" i="1"/>
  <c r="C66" i="1" s="1"/>
  <c r="D65" i="1"/>
  <c r="C65" i="1" s="1"/>
  <c r="T40" i="1" l="1"/>
  <c r="U40" i="1" s="1"/>
  <c r="E49" i="1"/>
  <c r="E41" i="1" l="1"/>
  <c r="E27" i="1"/>
  <c r="D40" i="1"/>
  <c r="C40" i="1" s="1"/>
  <c r="T64" i="1"/>
  <c r="T21" i="1"/>
  <c r="T75" i="1"/>
  <c r="U75" i="1" s="1"/>
  <c r="D28" i="1" l="1"/>
  <c r="T20" i="1" l="1"/>
  <c r="U20" i="1" s="1"/>
  <c r="R49" i="1"/>
  <c r="P41" i="1"/>
  <c r="O19" i="1"/>
  <c r="O16" i="1" s="1"/>
  <c r="P19" i="1"/>
  <c r="P16" i="1" s="1"/>
  <c r="M49" i="1"/>
  <c r="C7" i="1"/>
  <c r="P27" i="1"/>
  <c r="O9" i="1"/>
  <c r="T59" i="1"/>
  <c r="U59" i="1" s="1"/>
  <c r="T46" i="1"/>
  <c r="U46" i="1" s="1"/>
  <c r="L41" i="1"/>
  <c r="T18" i="1"/>
  <c r="U18" i="1" s="1"/>
  <c r="K41" i="1"/>
  <c r="I19" i="1"/>
  <c r="I9" i="1"/>
  <c r="I27" i="1"/>
  <c r="H27" i="1"/>
  <c r="G9" i="1"/>
  <c r="D77" i="7"/>
  <c r="C77" i="7" s="1"/>
  <c r="D76" i="7"/>
  <c r="C76" i="7" s="1"/>
  <c r="D75" i="7"/>
  <c r="C75" i="7" s="1"/>
  <c r="D74" i="7"/>
  <c r="C74" i="7" s="1"/>
  <c r="D73" i="7"/>
  <c r="C73" i="7" s="1"/>
  <c r="D72" i="7"/>
  <c r="C72" i="7" s="1"/>
  <c r="D71" i="7"/>
  <c r="C71" i="7" s="1"/>
  <c r="D70" i="7"/>
  <c r="C70" i="7" s="1"/>
  <c r="D69" i="7"/>
  <c r="C69" i="7" s="1"/>
  <c r="D68" i="7"/>
  <c r="C68" i="7" s="1"/>
  <c r="D67" i="7"/>
  <c r="C67" i="7" s="1"/>
  <c r="D66" i="7"/>
  <c r="C66" i="7" s="1"/>
  <c r="D65" i="7"/>
  <c r="C65" i="7" s="1"/>
  <c r="D64" i="7"/>
  <c r="C64" i="7" s="1"/>
  <c r="D63" i="7"/>
  <c r="C63" i="7" s="1"/>
  <c r="D62" i="7"/>
  <c r="C62" i="7" s="1"/>
  <c r="D61" i="7"/>
  <c r="C61" i="7" s="1"/>
  <c r="D60" i="7"/>
  <c r="C60" i="7" s="1"/>
  <c r="D59" i="7"/>
  <c r="C59" i="7" s="1"/>
  <c r="D58" i="7"/>
  <c r="C58" i="7" s="1"/>
  <c r="D57" i="7"/>
  <c r="C57" i="7" s="1"/>
  <c r="D56" i="7"/>
  <c r="C56" i="7" s="1"/>
  <c r="E55" i="7"/>
  <c r="D55" i="7" s="1"/>
  <c r="C55" i="7" s="1"/>
  <c r="D54" i="7"/>
  <c r="C54" i="7" s="1"/>
  <c r="D53" i="7"/>
  <c r="C53" i="7" s="1"/>
  <c r="D52" i="7"/>
  <c r="C52" i="7" s="1"/>
  <c r="D51" i="7"/>
  <c r="C51" i="7" s="1"/>
  <c r="D50" i="7"/>
  <c r="C50" i="7" s="1"/>
  <c r="D49" i="7"/>
  <c r="C49" i="7" s="1"/>
  <c r="D48" i="7"/>
  <c r="C48" i="7" s="1"/>
  <c r="D47" i="7"/>
  <c r="C47" i="7" s="1"/>
  <c r="E46" i="7"/>
  <c r="D46" i="7" s="1"/>
  <c r="C46" i="7" s="1"/>
  <c r="D45" i="7"/>
  <c r="C45" i="7" s="1"/>
  <c r="D44" i="7"/>
  <c r="C44" i="7" s="1"/>
  <c r="D43" i="7"/>
  <c r="C43" i="7" s="1"/>
  <c r="D42" i="7"/>
  <c r="C42" i="7" s="1"/>
  <c r="D41" i="7"/>
  <c r="C41" i="7" s="1"/>
  <c r="D40" i="7"/>
  <c r="C40" i="7" s="1"/>
  <c r="D39" i="7"/>
  <c r="D38" i="7"/>
  <c r="D37" i="7"/>
  <c r="C37" i="7" s="1"/>
  <c r="D36" i="7"/>
  <c r="C36" i="7" s="1"/>
  <c r="D35" i="7"/>
  <c r="C35" i="7" s="1"/>
  <c r="D34" i="7"/>
  <c r="C34" i="7" s="1"/>
  <c r="D33" i="7"/>
  <c r="C33" i="7" s="1"/>
  <c r="E32" i="7"/>
  <c r="D32" i="7" s="1"/>
  <c r="C32" i="7" s="1"/>
  <c r="D31" i="7"/>
  <c r="C31" i="7" s="1"/>
  <c r="D30" i="7"/>
  <c r="C30" i="7" s="1"/>
  <c r="D29" i="7"/>
  <c r="C29" i="7" s="1"/>
  <c r="D28" i="7"/>
  <c r="C28" i="7" s="1"/>
  <c r="D27" i="7"/>
  <c r="C27" i="7" s="1"/>
  <c r="E26" i="7"/>
  <c r="D26" i="7" s="1"/>
  <c r="C26" i="7" s="1"/>
  <c r="D25" i="7"/>
  <c r="D24" i="7"/>
  <c r="D23" i="7"/>
  <c r="E22" i="7"/>
  <c r="D22" i="7" s="1"/>
  <c r="C22" i="7" s="1"/>
  <c r="D21" i="7"/>
  <c r="C21" i="7" s="1"/>
  <c r="D20" i="7"/>
  <c r="C20" i="7" s="1"/>
  <c r="D18" i="7"/>
  <c r="C18" i="7" s="1"/>
  <c r="D17" i="7"/>
  <c r="D16" i="7"/>
  <c r="E15" i="7"/>
  <c r="D15" i="7" s="1"/>
  <c r="C15" i="7" s="1"/>
  <c r="D14" i="7"/>
  <c r="C14" i="7" s="1"/>
  <c r="D12" i="7"/>
  <c r="C12" i="7" s="1"/>
  <c r="D11" i="7"/>
  <c r="C11" i="7" s="1"/>
  <c r="E10" i="7"/>
  <c r="D10" i="7" s="1"/>
  <c r="C10" i="7" s="1"/>
  <c r="D9" i="7"/>
  <c r="C9" i="7" s="1"/>
  <c r="D8" i="7"/>
  <c r="C8" i="7" s="1"/>
  <c r="D7" i="7"/>
  <c r="C7" i="7" s="1"/>
  <c r="D6" i="7"/>
  <c r="C6" i="7" s="1"/>
  <c r="T74" i="1"/>
  <c r="U74" i="1" s="1"/>
  <c r="D74" i="1"/>
  <c r="C74" i="1" s="1"/>
  <c r="D6" i="1"/>
  <c r="C6" i="1" s="1"/>
  <c r="S19" i="1"/>
  <c r="S16" i="1" s="1"/>
  <c r="D14" i="1"/>
  <c r="C14" i="1" s="1"/>
  <c r="T48" i="1"/>
  <c r="U48" i="1" s="1"/>
  <c r="T28" i="1"/>
  <c r="U28" i="1" s="1"/>
  <c r="D48" i="1"/>
  <c r="C48" i="1" s="1"/>
  <c r="T33" i="1"/>
  <c r="U33" i="1" s="1"/>
  <c r="T34" i="1"/>
  <c r="U34" i="1" s="1"/>
  <c r="D34" i="1"/>
  <c r="C34" i="1" s="1"/>
  <c r="D33" i="1"/>
  <c r="C33" i="1" s="1"/>
  <c r="T23" i="1"/>
  <c r="U23" i="1" s="1"/>
  <c r="T24" i="1"/>
  <c r="U24" i="1" s="1"/>
  <c r="T25" i="1"/>
  <c r="U25" i="1" s="1"/>
  <c r="T26" i="1"/>
  <c r="U26" i="1" s="1"/>
  <c r="T30" i="1"/>
  <c r="U30" i="1" s="1"/>
  <c r="T32" i="1"/>
  <c r="U32" i="1" s="1"/>
  <c r="T35" i="1"/>
  <c r="U35" i="1" s="1"/>
  <c r="T36" i="1"/>
  <c r="U36" i="1" s="1"/>
  <c r="T44" i="1"/>
  <c r="U44" i="1" s="1"/>
  <c r="T45" i="1"/>
  <c r="U45" i="1" s="1"/>
  <c r="T52" i="1"/>
  <c r="U52" i="1" s="1"/>
  <c r="T54" i="1"/>
  <c r="U54" i="1" s="1"/>
  <c r="T55" i="1"/>
  <c r="U55" i="1" s="1"/>
  <c r="T56" i="1"/>
  <c r="U56" i="1" s="1"/>
  <c r="T57" i="1"/>
  <c r="U57" i="1" s="1"/>
  <c r="T58" i="1"/>
  <c r="U58" i="1" s="1"/>
  <c r="T60" i="1"/>
  <c r="U60" i="1" s="1"/>
  <c r="T62" i="1"/>
  <c r="U62" i="1" s="1"/>
  <c r="T15" i="1"/>
  <c r="U15" i="1" s="1"/>
  <c r="R9" i="1"/>
  <c r="R22" i="1"/>
  <c r="Q27" i="1"/>
  <c r="Q9" i="1"/>
  <c r="Q41" i="1"/>
  <c r="L19" i="1"/>
  <c r="L16" i="1" s="1"/>
  <c r="M41" i="1"/>
  <c r="L27" i="1"/>
  <c r="T39" i="1"/>
  <c r="U39" i="1" s="1"/>
  <c r="O22" i="1"/>
  <c r="P49" i="1"/>
  <c r="Q22" i="1"/>
  <c r="Q49" i="1"/>
  <c r="R27" i="1"/>
  <c r="O27" i="1"/>
  <c r="T50" i="1"/>
  <c r="U50" i="1" s="1"/>
  <c r="T61" i="1"/>
  <c r="U61" i="1" s="1"/>
  <c r="H41" i="1"/>
  <c r="J27" i="1"/>
  <c r="I41" i="1"/>
  <c r="H9" i="1"/>
  <c r="T13" i="1"/>
  <c r="U13" i="1" s="1"/>
  <c r="S41" i="1"/>
  <c r="G41" i="1"/>
  <c r="S9" i="1"/>
  <c r="J12" i="1"/>
  <c r="K12" i="1"/>
  <c r="L12" i="1"/>
  <c r="M12" i="1"/>
  <c r="N12" i="1"/>
  <c r="O12" i="1"/>
  <c r="P12" i="1"/>
  <c r="Q12" i="1"/>
  <c r="R12" i="1"/>
  <c r="S12" i="1"/>
  <c r="J19" i="1"/>
  <c r="K19" i="1"/>
  <c r="Q19" i="1"/>
  <c r="Q16" i="1" s="1"/>
  <c r="R19" i="1"/>
  <c r="R16" i="1" s="1"/>
  <c r="G19" i="1"/>
  <c r="G16" i="1" s="1"/>
  <c r="J22" i="1"/>
  <c r="K22" i="1"/>
  <c r="M22" i="1"/>
  <c r="P22" i="1"/>
  <c r="S22" i="1"/>
  <c r="G22" i="1"/>
  <c r="S27" i="1"/>
  <c r="G27" i="1"/>
  <c r="D27" i="1"/>
  <c r="C27" i="1" s="1"/>
  <c r="D49" i="1"/>
  <c r="C49" i="1" s="1"/>
  <c r="S49" i="1"/>
  <c r="I49" i="1"/>
  <c r="H49" i="1"/>
  <c r="G49" i="1"/>
  <c r="I22" i="1"/>
  <c r="D47" i="1"/>
  <c r="C47" i="1" s="1"/>
  <c r="H12" i="1"/>
  <c r="D61" i="1"/>
  <c r="C61" i="1" s="1"/>
  <c r="E9" i="1"/>
  <c r="E19" i="1"/>
  <c r="D19" i="1" s="1"/>
  <c r="C19" i="1" s="1"/>
  <c r="E22" i="1"/>
  <c r="D39" i="1"/>
  <c r="C39" i="1" s="1"/>
  <c r="D64" i="1"/>
  <c r="C64" i="1" s="1"/>
  <c r="D18" i="1"/>
  <c r="C18" i="1" s="1"/>
  <c r="D46" i="1"/>
  <c r="C46" i="1" s="1"/>
  <c r="D45" i="1"/>
  <c r="C45" i="1" s="1"/>
  <c r="D62" i="1"/>
  <c r="C62" i="1" s="1"/>
  <c r="D60" i="1"/>
  <c r="C60" i="1" s="1"/>
  <c r="D37" i="1"/>
  <c r="C37" i="1" s="1"/>
  <c r="D75" i="1"/>
  <c r="C75" i="1" s="1"/>
  <c r="D63" i="1"/>
  <c r="C63" i="1" s="1"/>
  <c r="D21" i="1"/>
  <c r="C21" i="1" s="1"/>
  <c r="D20" i="1"/>
  <c r="C20" i="1" s="1"/>
  <c r="D59" i="1"/>
  <c r="C59" i="1" s="1"/>
  <c r="D58" i="1"/>
  <c r="C58" i="1" s="1"/>
  <c r="D57" i="1"/>
  <c r="C57" i="1" s="1"/>
  <c r="D56" i="1"/>
  <c r="C56" i="1" s="1"/>
  <c r="D55" i="1"/>
  <c r="C55" i="1" s="1"/>
  <c r="D54" i="1"/>
  <c r="C54" i="1" s="1"/>
  <c r="D53" i="1"/>
  <c r="C53" i="1" s="1"/>
  <c r="D52" i="1"/>
  <c r="C52" i="1" s="1"/>
  <c r="D51" i="1"/>
  <c r="C51" i="1" s="1"/>
  <c r="D50" i="1"/>
  <c r="C50" i="1" s="1"/>
  <c r="D44" i="1"/>
  <c r="C44" i="1" s="1"/>
  <c r="D42" i="1"/>
  <c r="C42" i="1" s="1"/>
  <c r="D36" i="1"/>
  <c r="C36" i="1" s="1"/>
  <c r="D35" i="1"/>
  <c r="C35" i="1" s="1"/>
  <c r="D32" i="1"/>
  <c r="C32" i="1" s="1"/>
  <c r="D31" i="1"/>
  <c r="C31" i="1" s="1"/>
  <c r="D30" i="1"/>
  <c r="C30" i="1" s="1"/>
  <c r="D29" i="1"/>
  <c r="C29" i="1" s="1"/>
  <c r="C28" i="1"/>
  <c r="D26" i="1"/>
  <c r="C26" i="1" s="1"/>
  <c r="D25" i="1"/>
  <c r="C25" i="1" s="1"/>
  <c r="D24" i="1"/>
  <c r="C24" i="1" s="1"/>
  <c r="D23" i="1"/>
  <c r="C23" i="1" s="1"/>
  <c r="D5" i="1"/>
  <c r="C5" i="1" s="1"/>
  <c r="D8" i="1"/>
  <c r="C8" i="1" s="1"/>
  <c r="D15" i="1"/>
  <c r="C15" i="1" s="1"/>
  <c r="D17" i="1"/>
  <c r="C17" i="1" s="1"/>
  <c r="D13" i="1"/>
  <c r="C13" i="1" s="1"/>
  <c r="D11" i="1"/>
  <c r="C11" i="1" s="1"/>
  <c r="D10" i="1"/>
  <c r="C10" i="1" s="1"/>
  <c r="D43" i="1"/>
  <c r="C43" i="1" s="1"/>
  <c r="N22" i="1"/>
  <c r="J49" i="1"/>
  <c r="L22" i="1"/>
  <c r="M9" i="1"/>
  <c r="H22" i="1"/>
  <c r="M27" i="1"/>
  <c r="R41" i="1"/>
  <c r="N27" i="1"/>
  <c r="T29" i="1"/>
  <c r="U29" i="1" s="1"/>
  <c r="K49" i="1"/>
  <c r="T42" i="1"/>
  <c r="U42" i="1" s="1"/>
  <c r="T51" i="1"/>
  <c r="U51" i="1" s="1"/>
  <c r="E13" i="7" l="1"/>
  <c r="D13" i="7" s="1"/>
  <c r="C13" i="7" s="1"/>
  <c r="G76" i="1"/>
  <c r="E19" i="7"/>
  <c r="D19" i="7" s="1"/>
  <c r="C19" i="7" s="1"/>
  <c r="D12" i="1"/>
  <c r="C12" i="1" s="1"/>
  <c r="M76" i="1"/>
  <c r="S76" i="1"/>
  <c r="Q76" i="1"/>
  <c r="R76" i="1"/>
  <c r="T22" i="1"/>
  <c r="U22" i="1" s="1"/>
  <c r="U64" i="1"/>
  <c r="T47" i="1"/>
  <c r="U47" i="1" s="1"/>
  <c r="P9" i="1"/>
  <c r="P76" i="1" s="1"/>
  <c r="N49" i="1"/>
  <c r="T43" i="1"/>
  <c r="U43" i="1" s="1"/>
  <c r="K16" i="1"/>
  <c r="T14" i="1"/>
  <c r="U14" i="1" s="1"/>
  <c r="T31" i="1"/>
  <c r="U31" i="1" s="1"/>
  <c r="U21" i="1"/>
  <c r="T17" i="1"/>
  <c r="U17" i="1" s="1"/>
  <c r="J41" i="1"/>
  <c r="N41" i="1"/>
  <c r="T6" i="1"/>
  <c r="U6" i="1" s="1"/>
  <c r="O41" i="1"/>
  <c r="O76" i="1" s="1"/>
  <c r="I16" i="1"/>
  <c r="T11" i="1"/>
  <c r="U11" i="1" s="1"/>
  <c r="T12" i="1"/>
  <c r="U12" i="1" s="1"/>
  <c r="E16" i="1"/>
  <c r="D16" i="1" s="1"/>
  <c r="C16" i="1" s="1"/>
  <c r="H19" i="1"/>
  <c r="H16" i="1" s="1"/>
  <c r="H76" i="1" s="1"/>
  <c r="J16" i="1"/>
  <c r="T53" i="1"/>
  <c r="U53" i="1" s="1"/>
  <c r="U8" i="1"/>
  <c r="J9" i="1"/>
  <c r="T37" i="1"/>
  <c r="U37" i="1" s="1"/>
  <c r="T63" i="1"/>
  <c r="U63" i="1" s="1"/>
  <c r="K9" i="1"/>
  <c r="L9" i="1"/>
  <c r="T7" i="1"/>
  <c r="U7" i="1" s="1"/>
  <c r="D22" i="1"/>
  <c r="C22" i="1" s="1"/>
  <c r="F76" i="1"/>
  <c r="L49" i="1"/>
  <c r="T10" i="1"/>
  <c r="U10" i="1" s="1"/>
  <c r="K27" i="1"/>
  <c r="D41" i="1"/>
  <c r="C41" i="1" s="1"/>
  <c r="D9" i="1"/>
  <c r="C9" i="1" s="1"/>
  <c r="E78" i="7" l="1"/>
  <c r="D78" i="7" s="1"/>
  <c r="E76" i="1"/>
  <c r="G83" i="1" s="1"/>
  <c r="L76" i="1"/>
  <c r="J76" i="1"/>
  <c r="K76" i="1"/>
  <c r="N76" i="1"/>
  <c r="I76" i="1"/>
  <c r="T41" i="1"/>
  <c r="U41" i="1" s="1"/>
  <c r="T16" i="1"/>
  <c r="U16" i="1" s="1"/>
  <c r="U19" i="1"/>
  <c r="T9" i="1"/>
  <c r="U9" i="1" s="1"/>
  <c r="T27" i="1"/>
  <c r="T49" i="1"/>
  <c r="U49" i="1" s="1"/>
  <c r="D76" i="1" l="1"/>
  <c r="D81" i="1" s="1"/>
  <c r="D83" i="7"/>
  <c r="C78" i="7"/>
  <c r="T79" i="1"/>
  <c r="U27" i="1"/>
  <c r="U76" i="1" s="1"/>
  <c r="T76" i="1"/>
  <c r="U79" i="1" s="1"/>
  <c r="C76" i="1" l="1"/>
  <c r="C39" i="7"/>
  <c r="C38" i="7"/>
</calcChain>
</file>

<file path=xl/comments1.xml><?xml version="1.0" encoding="utf-8"?>
<comments xmlns="http://schemas.openxmlformats.org/spreadsheetml/2006/main">
  <authors>
    <author>User 1</author>
    <author>Максим</author>
    <author>max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зарплата за март 2020 плюс аванс и зарплата за апрель 2020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+49,99 взносы в ФСС за октябрь 2019 по годовому отчету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Только НДФЛ
без налогов с ФОТ (будут в июле)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налоги с ФОТ за 2 месяца май и июнь 2020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 марте списано дважды 2200 (пакетное обслуживние счета) за февраль и март. Выросла комисся 1,5% из-за увеличившихся платежей онлайн (справочно: январь 506тр, февраль 628 тр, март 750 тр) плюс соответствеено увеличение по счету капремонт.
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 мае и июне не оплачивали капремонт поэтому снижение процента по услугам банка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 июле заплатили через банк 989 тр коммунальных и 213 тр капремонт. Поэтому большой процент услуги банка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Карты памяти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Комбнезон Марченко</t>
        </r>
      </text>
    </comment>
    <comment ref="F30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Окончательный расчет за монтаж пожарной сигнализации в подъездах</t>
        </r>
      </text>
    </comment>
    <comment ref="R30" authorId="2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7400 - огнетушители</t>
        </r>
      </text>
    </comment>
    <comment ref="S30" authorId="2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огнетушители</t>
        </r>
      </text>
    </comment>
    <comment ref="M3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3000 год Такском и 3600 техобслуживание кассы
</t>
        </r>
      </text>
    </comment>
    <comment ref="P37" authorId="2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Закупка трех новых вызывных панелей</t>
        </r>
      </text>
    </comment>
    <comment ref="L44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ремонт входной двери</t>
        </r>
      </text>
    </comment>
    <comment ref="L5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обработка от клеща</t>
        </r>
      </text>
    </comment>
    <comment ref="P5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дератизация</t>
        </r>
      </text>
    </comment>
    <comment ref="I6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покупка антисептиков
14950 - дезинфекция МОП</t>
        </r>
      </text>
    </comment>
    <comment ref="J6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Маски многоразовые
</t>
        </r>
      </text>
    </comment>
    <comment ref="L6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маски одноразовые, перчатки</t>
        </r>
      </text>
    </comment>
    <comment ref="M6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маски одноразовые, салфетки антибактериальные</t>
        </r>
      </text>
    </comment>
    <comment ref="P6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маски защитные
</t>
        </r>
      </text>
    </comment>
    <comment ref="Q63" authorId="2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Дезинфекция подъездов</t>
        </r>
      </text>
    </comment>
    <comment ref="R63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маски медицинские</t>
        </r>
      </text>
    </comment>
    <comment ref="I6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МТС за 1 кв 2020</t>
        </r>
      </text>
    </comment>
    <comment ref="L6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МТС 2 кв 2020</t>
        </r>
      </text>
    </comment>
    <comment ref="N6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МТС за 3 кв.2020
</t>
        </r>
      </text>
    </comment>
    <comment ref="Q65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МТС 4 кв 2020</t>
        </r>
      </text>
    </comment>
    <comment ref="G66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Вымпелком за 1 кв 2020</t>
        </r>
      </text>
    </comment>
    <comment ref="J66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Вымпелком за 2 кв 2020</t>
        </r>
      </text>
    </comment>
    <comment ref="M66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Вымпелком за 3 кв. 2020</t>
        </r>
      </text>
    </comment>
    <comment ref="P66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Вымпелком за 4 квартал </t>
        </r>
      </text>
    </comment>
    <comment ref="G6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ТТК за декабрь 2019. деньги поступили 31.01.2020
</t>
        </r>
      </text>
    </comment>
    <comment ref="I6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ТТК 3000 руб. за январь 2020
</t>
        </r>
      </text>
    </comment>
    <comment ref="L6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ТТК 3000 руб. за февраль, 3000 руб. за март 2020
</t>
        </r>
      </text>
    </comment>
    <comment ref="N6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ТТК 3000 за апрель 3000 за май 3000 за июнь
</t>
        </r>
      </text>
    </comment>
    <comment ref="P6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3000 за июль 3000 за август</t>
        </r>
      </text>
    </comment>
    <comment ref="Q6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ТТК за сентябрь</t>
        </r>
      </text>
    </comment>
    <comment ref="R67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ТТК октябрь, ноябрь 2020
</t>
        </r>
      </text>
    </comment>
    <comment ref="S67" authorId="2">
      <text>
        <r>
          <rPr>
            <b/>
            <sz val="9"/>
            <color indexed="81"/>
            <rFont val="Tahoma"/>
            <charset val="1"/>
          </rPr>
          <t>max:</t>
        </r>
        <r>
          <rPr>
            <sz val="9"/>
            <color indexed="81"/>
            <rFont val="Tahoma"/>
            <charset val="1"/>
          </rPr>
          <t xml:space="preserve">
за декабрь 2020</t>
        </r>
      </text>
    </comment>
    <comment ref="I68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МТС 9000 руб. за 1 кв 2020</t>
        </r>
      </text>
    </comment>
    <comment ref="L68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МТС 2 кв 2020</t>
        </r>
      </text>
    </comment>
    <comment ref="O68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июль, август, сентябрь 2020</t>
        </r>
      </text>
    </comment>
    <comment ref="H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Ростелеком 1500 руб. за декабрь 2019 (оплата 03.02.20) 1500 руб. за январь 2020 (оплата 28.02.20)</t>
        </r>
      </text>
    </comment>
    <comment ref="I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Ростелеком 1500 руб. за февраль 2020</t>
        </r>
      </text>
    </comment>
    <comment ref="J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Ростелеком 1500 руб. за март 2020</t>
        </r>
      </text>
    </comment>
    <comment ref="M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Ростелеком за три месяца апрель, май, июнь</t>
        </r>
      </text>
    </comment>
    <comment ref="O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1500 за июль, 1500 за август</t>
        </r>
      </text>
    </comment>
    <comment ref="Q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Ростелеком за сентябрь</t>
        </r>
      </text>
    </comment>
    <comment ref="R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Ростелеком октябрь, ноябрь</t>
        </r>
      </text>
    </comment>
    <comment ref="S69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Ростелеком 1500 за декабрь 2020
</t>
        </r>
      </text>
    </comment>
    <comment ref="H70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ЭрТелеком 1000 руб. за декабрь 2019 (оплата 27.02.20) 3000 руб. за 1 кв 2020</t>
        </r>
      </text>
    </comment>
    <comment ref="M70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ЭрТелеком за 2 квартал 2020</t>
        </r>
      </text>
    </comment>
    <comment ref="O70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3000 за 3 квартал</t>
        </r>
      </text>
    </comment>
    <comment ref="R70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Эр-Телеком за 4 квартал 2020
</t>
        </r>
      </text>
    </comment>
    <comment ref="F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за декабрь 2019
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Родионов за январь 2020</t>
        </r>
      </text>
    </comment>
    <comment ref="H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Родионов за февраль 2020 Верзунов за январь 2020
</t>
        </r>
      </text>
    </comment>
    <comment ref="I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3500 руб. за февраль 2020, Роидонов 3000 руб. за март 2020</t>
        </r>
      </text>
    </comment>
    <comment ref="J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3500 рублей за март 2020</t>
        </r>
      </text>
    </comment>
    <comment ref="K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3500 руб. за апрель, 5048,38 руб. за май
</t>
        </r>
      </text>
    </comment>
    <comment ref="M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5500 руб. за июнь, 5500 руб. за июль 2020</t>
        </r>
      </text>
    </comment>
    <comment ref="N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за август 2020
</t>
        </r>
      </text>
    </comment>
    <comment ref="O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за сентябрь
</t>
        </r>
      </text>
    </comment>
    <comment ref="P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за октябрь</t>
        </r>
      </text>
    </comment>
    <comment ref="Q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ноябрь, декабрь
</t>
        </r>
      </text>
    </comment>
    <comment ref="R7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Верзунов за январь 2021
</t>
        </r>
      </text>
    </comment>
    <comment ref="J74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УСН за 4 кв 2019</t>
        </r>
      </text>
    </comment>
    <comment ref="L74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УСН 1 кв 2020
</t>
        </r>
      </text>
    </comment>
  </commentList>
</comments>
</file>

<file path=xl/sharedStrings.xml><?xml version="1.0" encoding="utf-8"?>
<sst xmlns="http://schemas.openxmlformats.org/spreadsheetml/2006/main" count="311" uniqueCount="214">
  <si>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</si>
  <si>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</si>
  <si>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</si>
  <si>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</si>
  <si>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</si>
  <si>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</si>
  <si>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</si>
  <si>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</si>
  <si>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</si>
  <si>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</si>
  <si>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</si>
  <si>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</si>
  <si>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</si>
  <si>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</si>
  <si>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</si>
  <si>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</si>
  <si>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</si>
  <si>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</si>
  <si>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</si>
  <si>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</si>
  <si>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</si>
  <si>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</si>
  <si>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</si>
  <si>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</si>
  <si>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</si>
  <si>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</si>
  <si>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</si>
  <si>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</si>
  <si>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</si>
  <si>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</si>
  <si>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</si>
  <si>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</si>
  <si>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</si>
  <si>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</si>
  <si>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</si>
  <si>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</si>
  <si>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</si>
  <si>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</si>
  <si>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</si>
  <si>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</si>
  <si>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</si>
  <si>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</si>
  <si>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</si>
  <si>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</si>
  <si>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</si>
  <si>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</si>
  <si>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</si>
  <si>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</si>
  <si>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</si>
  <si>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</si>
  <si>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</si>
  <si>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</si>
  <si>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</si>
  <si>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</si>
  <si>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</si>
  <si>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</si>
  <si>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</si>
  <si>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</si>
  <si>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</si>
  <si>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</si>
  <si>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</si>
  <si>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</si>
  <si>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</si>
  <si>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</si>
  <si>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</si>
  <si>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</si>
  <si>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</si>
  <si>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</si>
  <si>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</si>
  <si>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</si>
  <si>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</si>
  <si>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</si>
  <si>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</si>
  <si>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</si>
  <si>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</si>
  <si>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</si>
  <si>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</si>
  <si>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</si>
  <si>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</si>
  <si>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</si>
  <si>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</si>
  <si>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</si>
  <si>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</si>
  <si>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</si>
  <si>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</si>
  <si>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</si>
  <si>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</si>
  <si>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</si>
  <si>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</si>
  <si>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</si>
  <si>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</si>
  <si>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</si>
  <si>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</si>
  <si>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</si>
  <si>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</si>
  <si>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</si>
  <si>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</si>
  <si>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</si>
  <si>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</si>
  <si>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</si>
  <si>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</si>
  <si>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</si>
  <si>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</si>
  <si>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</si>
  <si>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</si>
  <si>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</si>
  <si>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</si>
  <si>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</si>
  <si>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</si>
  <si>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</si>
  <si>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</si>
  <si>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</si>
  <si>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</si>
  <si>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</si>
  <si>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</si>
  <si>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</si>
  <si>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</si>
  <si>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</si>
  <si>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</si>
  <si>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</si>
  <si>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</si>
  <si>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</si>
  <si>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</si>
  <si>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</si>
  <si>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</si>
  <si>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</si>
  <si>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</si>
  <si>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</si>
  <si>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</si>
  <si>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</si>
  <si>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</si>
  <si>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</si>
  <si>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</si>
  <si>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</si>
  <si>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</si>
  <si>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</si>
  <si>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</si>
  <si>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</si>
  <si>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</si>
  <si>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</si>
  <si>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</si>
  <si>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</si>
  <si>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</si>
  <si>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</si>
  <si>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</si>
  <si>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</si>
  <si>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</si>
  <si>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</si>
  <si>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</si>
  <si>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</si>
  <si>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</si>
  <si>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</si>
  <si>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</si>
  <si>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</si>
  <si>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</si>
  <si>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</si>
  <si>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</si>
  <si>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</si>
  <si>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</si>
  <si>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</si>
  <si>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приобретение и установка новых лавок перед подъездами 12 шт.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</si>
  <si>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</si>
  <si>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</si>
  <si>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электромонтажные работы</t>
  </si>
  <si>
    <t>тариф на содержание и ремонт общего имущества МКД за 1 кв.м общей площади в месяц:</t>
  </si>
  <si>
    <t>14.1</t>
  </si>
  <si>
    <t>14.2</t>
  </si>
  <si>
    <t>14.3</t>
  </si>
  <si>
    <t>14.4</t>
  </si>
  <si>
    <t>"МТС" (размещение базовой станции сотовой связи)</t>
  </si>
  <si>
    <t>"Вымпелком" (размещение базовой станции сотовой связи)</t>
  </si>
  <si>
    <t>"МТС" размещение телекоммуникационного оборудования в подъездах</t>
  </si>
  <si>
    <t>"Ростелеком" размещение телекоммуникационного оборудования в подъездах</t>
  </si>
  <si>
    <t>14.5</t>
  </si>
  <si>
    <t>14.6</t>
  </si>
  <si>
    <t>Прочие (непредвиденные доходы)</t>
  </si>
  <si>
    <t>14.7</t>
  </si>
  <si>
    <t>Пени</t>
  </si>
  <si>
    <t>мастера по уборке придомовой территории, лестничных клеток (перчатки, СМС и т.д.)</t>
  </si>
  <si>
    <t>электротехнические материалы</t>
  </si>
  <si>
    <t>откачка нечистот и чистка колодцев водоотведения</t>
  </si>
  <si>
    <t>обслуживание автоматики и циркуляционных насосов ИТП</t>
  </si>
  <si>
    <t>сантехническое оборудование и материалы</t>
  </si>
  <si>
    <t>песок для песочниц, земля для газонов, пастосмесь противогололедная, соль техническая</t>
  </si>
  <si>
    <t>заделка межпанельных швов, окрашивание фасада</t>
  </si>
  <si>
    <t>ремонт кровли, восстановление козырьков</t>
  </si>
  <si>
    <t>очистка внутридворовых проездов от снега спецтехникой</t>
  </si>
  <si>
    <t>усиление ограждения спортивной площадки, сети и др.</t>
  </si>
  <si>
    <t>обслуживание общедомового газового оборудования</t>
  </si>
  <si>
    <t>"ТТК" размещение телекоммуникационного оборудования в подъездах</t>
  </si>
  <si>
    <t>обслуживание ПК и програмного обеспечения, ГИС ЖКХ</t>
  </si>
  <si>
    <t>обслуживание, поверка, ремонт приборов учета, пломбы</t>
  </si>
  <si>
    <t>сантехнические и сварочные работы</t>
  </si>
  <si>
    <t>благоустройство офиса  (мебель, перегородки и др.)</t>
  </si>
  <si>
    <t>в январе 2020г. за декабрь 2019г.</t>
  </si>
  <si>
    <r>
      <rPr>
        <b/>
        <i/>
        <sz val="9"/>
        <rFont val="Arial Cyr"/>
        <charset val="204"/>
      </rPr>
      <t>телефон, интернет</t>
    </r>
    <r>
      <rPr>
        <i/>
        <sz val="9"/>
        <rFont val="Arial Cyr"/>
        <charset val="204"/>
      </rPr>
      <t>, передача отчетности по ИТС</t>
    </r>
  </si>
  <si>
    <t>техническому содержанию и ремонту общего имущества многоквартирного дома на 2020 год</t>
  </si>
  <si>
    <t>обновления (подписка) 1С, СБИС, антивирусных программ и другого ПО</t>
  </si>
  <si>
    <t>слесарь-сантехник, энергетик (перчатки, СМС, инструменты и т.д.)</t>
  </si>
  <si>
    <t>обслуживание онлайн-кассы</t>
  </si>
  <si>
    <t>дезинсекция и дератизация подвальных помещений, обработка от клещей</t>
  </si>
  <si>
    <t>дорожные работы (асфальтирование, наем спецтехники)</t>
  </si>
  <si>
    <t>14.8</t>
  </si>
  <si>
    <t>Размещение автоматов по продаже чистой воды</t>
  </si>
  <si>
    <t>обслуживание системы дворового и офисного видеонаблюдения</t>
  </si>
  <si>
    <t>промывка теплообменников ГВС (разборка-сборка, хим чистка)</t>
  </si>
  <si>
    <t>обслуживание контейнерной площадки, установка заклубленного контейнера 5м3</t>
  </si>
  <si>
    <t>На основании сметы расходов на 2020 г. Правление ТСЖ предлагает утвердить</t>
  </si>
  <si>
    <r>
      <t xml:space="preserve">обслуживание охранной и </t>
    </r>
    <r>
      <rPr>
        <b/>
        <i/>
        <sz val="9"/>
        <rFont val="Arial Cyr"/>
        <charset val="204"/>
      </rPr>
      <t>пожарной</t>
    </r>
    <r>
      <rPr>
        <i/>
        <sz val="9"/>
        <rFont val="Arial Cyr"/>
        <charset val="204"/>
      </rPr>
      <t xml:space="preserve"> сигнализации, </t>
    </r>
    <r>
      <rPr>
        <b/>
        <i/>
        <sz val="9"/>
        <rFont val="Arial Cyr"/>
        <charset val="204"/>
      </rPr>
      <t>зарядка огнетушителей</t>
    </r>
  </si>
  <si>
    <t>Перерасход средств по статье "Содержание и ремонт жилья" за 2019 год</t>
  </si>
  <si>
    <t>14.9</t>
  </si>
  <si>
    <t>"Эр Телеком Холдинг" размещение телекоммуникационного оборудования на кровле</t>
  </si>
  <si>
    <t>Сумма расходов по месяцам 2020 года, руб.</t>
  </si>
  <si>
    <t>в январе 2021г. за декабрь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</si>
</sst>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i/>
      <sz val="10"/>
      <color rgb="FFFF0000"/>
      <name val="Arial Cyr"/>
      <charset val="204"/>
    </font>
    <font>
      <b/>
      <i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7030A0"/>
      <name val="Arial Cyr"/>
      <family val="2"/>
      <charset val="204"/>
    </font>
    <font>
      <b/>
      <sz val="9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2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4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5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39" xfId="0" applyNumberFormat="1" applyFont="1" applyFill="1" applyBorder="1" applyAlignment="1"/>
    <xf numFmtId="0" fontId="7" fillId="0" borderId="33" xfId="0" applyNumberFormat="1" applyFont="1" applyFill="1" applyBorder="1" applyAlignment="1"/>
    <xf numFmtId="0" fontId="1" fillId="0" borderId="39" xfId="0" applyFont="1" applyFill="1" applyBorder="1" applyAlignment="1"/>
    <xf numFmtId="0" fontId="1" fillId="0" borderId="39" xfId="0" applyFont="1" applyFill="1" applyBorder="1" applyAlignment="1">
      <alignment vertical="center"/>
    </xf>
    <xf numFmtId="0" fontId="7" fillId="0" borderId="33" xfId="0" applyFont="1" applyFill="1" applyBorder="1" applyAlignment="1"/>
    <xf numFmtId="0" fontId="3" fillId="0" borderId="30" xfId="0" applyFont="1" applyBorder="1" applyAlignment="1">
      <alignment horizontal="left"/>
    </xf>
    <xf numFmtId="2" fontId="3" fillId="0" borderId="40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3" fillId="0" borderId="2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39" xfId="0" applyFont="1" applyFill="1" applyBorder="1"/>
    <xf numFmtId="16" fontId="5" fillId="3" borderId="44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/>
    <xf numFmtId="16" fontId="5" fillId="3" borderId="47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3" xfId="0" applyFont="1" applyFill="1" applyBorder="1"/>
    <xf numFmtId="0" fontId="7" fillId="0" borderId="48" xfId="0" applyFont="1" applyFill="1" applyBorder="1"/>
    <xf numFmtId="0" fontId="3" fillId="0" borderId="33" xfId="0" applyFont="1" applyFill="1" applyBorder="1" applyAlignment="1"/>
    <xf numFmtId="0" fontId="7" fillId="0" borderId="48" xfId="0" applyFont="1" applyFill="1" applyBorder="1" applyAlignment="1"/>
    <xf numFmtId="0" fontId="5" fillId="0" borderId="44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2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Border="1" applyAlignment="1">
      <alignment horizontal="left"/>
    </xf>
    <xf numFmtId="2" fontId="7" fillId="0" borderId="55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0" fontId="1" fillId="0" borderId="57" xfId="0" applyFont="1" applyFill="1" applyBorder="1" applyAlignment="1"/>
    <xf numFmtId="0" fontId="1" fillId="0" borderId="57" xfId="0" applyFont="1" applyFill="1" applyBorder="1" applyAlignment="1">
      <alignment vertical="center"/>
    </xf>
    <xf numFmtId="0" fontId="7" fillId="0" borderId="55" xfId="0" applyFont="1" applyFill="1" applyBorder="1" applyAlignment="1"/>
    <xf numFmtId="0" fontId="1" fillId="0" borderId="58" xfId="0" applyFont="1" applyFill="1" applyBorder="1" applyAlignment="1"/>
    <xf numFmtId="1" fontId="5" fillId="0" borderId="60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8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0" fontId="6" fillId="0" borderId="0" xfId="0" applyFont="1" applyBorder="1" applyAlignment="1"/>
    <xf numFmtId="0" fontId="5" fillId="0" borderId="24" xfId="0" applyFont="1" applyFill="1" applyBorder="1"/>
    <xf numFmtId="0" fontId="7" fillId="0" borderId="55" xfId="0" applyFont="1" applyFill="1" applyBorder="1"/>
    <xf numFmtId="0" fontId="7" fillId="0" borderId="61" xfId="0" applyFont="1" applyFill="1" applyBorder="1"/>
    <xf numFmtId="0" fontId="7" fillId="0" borderId="55" xfId="0" applyNumberFormat="1" applyFont="1" applyFill="1" applyBorder="1" applyAlignment="1"/>
    <xf numFmtId="0" fontId="7" fillId="0" borderId="0" xfId="0" applyFont="1" applyFill="1"/>
    <xf numFmtId="0" fontId="3" fillId="0" borderId="55" xfId="0" applyFont="1" applyFill="1" applyBorder="1" applyAlignment="1"/>
    <xf numFmtId="0" fontId="7" fillId="0" borderId="61" xfId="0" applyFont="1" applyFill="1" applyBorder="1" applyAlignment="1"/>
    <xf numFmtId="0" fontId="5" fillId="0" borderId="63" xfId="0" applyFont="1" applyFill="1" applyBorder="1"/>
    <xf numFmtId="0" fontId="5" fillId="0" borderId="34" xfId="0" applyFont="1" applyFill="1" applyBorder="1"/>
    <xf numFmtId="1" fontId="5" fillId="0" borderId="13" xfId="0" applyNumberFormat="1" applyFont="1" applyBorder="1"/>
    <xf numFmtId="0" fontId="5" fillId="0" borderId="65" xfId="0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66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67" xfId="0" applyNumberFormat="1" applyFont="1" applyBorder="1" applyAlignment="1">
      <alignment horizontal="center" vertical="center"/>
    </xf>
    <xf numFmtId="0" fontId="7" fillId="0" borderId="66" xfId="0" applyFont="1" applyFill="1" applyBorder="1" applyAlignment="1"/>
    <xf numFmtId="2" fontId="7" fillId="0" borderId="3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1" fontId="5" fillId="0" borderId="60" xfId="0" applyNumberFormat="1" applyFont="1" applyFill="1" applyBorder="1"/>
    <xf numFmtId="1" fontId="5" fillId="0" borderId="17" xfId="0" applyNumberFormat="1" applyFont="1" applyFill="1" applyBorder="1"/>
    <xf numFmtId="1" fontId="5" fillId="0" borderId="59" xfId="0" applyNumberFormat="1" applyFont="1" applyFill="1" applyBorder="1"/>
    <xf numFmtId="2" fontId="7" fillId="0" borderId="40" xfId="0" applyNumberFormat="1" applyFont="1" applyBorder="1" applyAlignment="1">
      <alignment horizontal="center"/>
    </xf>
    <xf numFmtId="0" fontId="7" fillId="0" borderId="52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49" fontId="7" fillId="0" borderId="72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2" fontId="5" fillId="0" borderId="39" xfId="0" applyNumberFormat="1" applyFont="1" applyBorder="1" applyAlignment="1">
      <alignment horizontal="center"/>
    </xf>
    <xf numFmtId="0" fontId="7" fillId="0" borderId="0" xfId="0" applyFont="1" applyBorder="1"/>
    <xf numFmtId="0" fontId="0" fillId="0" borderId="24" xfId="0" applyBorder="1"/>
    <xf numFmtId="1" fontId="7" fillId="7" borderId="14" xfId="0" applyNumberFormat="1" applyFont="1" applyFill="1" applyBorder="1"/>
    <xf numFmtId="0" fontId="1" fillId="0" borderId="2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1" fontId="5" fillId="0" borderId="75" xfId="0" applyNumberFormat="1" applyFont="1" applyFill="1" applyBorder="1" applyAlignment="1">
      <alignment horizontal="center"/>
    </xf>
    <xf numFmtId="1" fontId="5" fillId="0" borderId="75" xfId="0" applyNumberFormat="1" applyFont="1" applyBorder="1" applyAlignment="1">
      <alignment horizontal="center"/>
    </xf>
    <xf numFmtId="1" fontId="5" fillId="0" borderId="80" xfId="0" applyNumberFormat="1" applyFont="1" applyBorder="1" applyAlignment="1">
      <alignment horizontal="center"/>
    </xf>
    <xf numFmtId="1" fontId="7" fillId="0" borderId="81" xfId="0" applyNumberFormat="1" applyFont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" fontId="3" fillId="0" borderId="83" xfId="0" applyNumberFormat="1" applyFont="1" applyBorder="1" applyAlignment="1">
      <alignment horizontal="center"/>
    </xf>
    <xf numFmtId="1" fontId="5" fillId="0" borderId="80" xfId="0" applyNumberFormat="1" applyFont="1" applyBorder="1" applyAlignment="1">
      <alignment horizontal="center" vertical="center"/>
    </xf>
    <xf numFmtId="1" fontId="7" fillId="0" borderId="77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5" fillId="0" borderId="76" xfId="0" applyNumberFormat="1" applyFont="1" applyBorder="1" applyAlignment="1">
      <alignment horizontal="center"/>
    </xf>
    <xf numFmtId="1" fontId="7" fillId="0" borderId="78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1" fontId="7" fillId="7" borderId="59" xfId="0" applyNumberFormat="1" applyFont="1" applyFill="1" applyBorder="1"/>
    <xf numFmtId="1" fontId="5" fillId="7" borderId="17" xfId="0" applyNumberFormat="1" applyFont="1" applyFill="1" applyBorder="1"/>
    <xf numFmtId="0" fontId="1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7" fillId="7" borderId="33" xfId="0" applyFont="1" applyFill="1" applyBorder="1"/>
    <xf numFmtId="0" fontId="7" fillId="7" borderId="66" xfId="0" applyFont="1" applyFill="1" applyBorder="1"/>
    <xf numFmtId="0" fontId="8" fillId="0" borderId="77" xfId="0" applyFont="1" applyFill="1" applyBorder="1" applyAlignment="1">
      <alignment horizontal="center"/>
    </xf>
    <xf numFmtId="0" fontId="9" fillId="0" borderId="0" xfId="0" applyFont="1"/>
    <xf numFmtId="1" fontId="5" fillId="0" borderId="13" xfId="0" applyNumberFormat="1" applyFont="1" applyFill="1" applyBorder="1"/>
    <xf numFmtId="0" fontId="7" fillId="7" borderId="3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5" fillId="0" borderId="47" xfId="0" applyFont="1" applyFill="1" applyBorder="1"/>
    <xf numFmtId="0" fontId="1" fillId="7" borderId="67" xfId="0" applyNumberFormat="1" applyFont="1" applyFill="1" applyBorder="1" applyAlignment="1">
      <alignment horizontal="center" vertical="center"/>
    </xf>
    <xf numFmtId="0" fontId="5" fillId="7" borderId="87" xfId="0" applyFont="1" applyFill="1" applyBorder="1" applyAlignment="1">
      <alignment horizontal="left"/>
    </xf>
    <xf numFmtId="2" fontId="1" fillId="7" borderId="58" xfId="0" applyNumberFormat="1" applyFont="1" applyFill="1" applyBorder="1" applyAlignment="1">
      <alignment horizontal="center"/>
    </xf>
    <xf numFmtId="1" fontId="5" fillId="7" borderId="88" xfId="0" applyNumberFormat="1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5" fillId="7" borderId="89" xfId="0" applyFont="1" applyFill="1" applyBorder="1"/>
    <xf numFmtId="0" fontId="5" fillId="7" borderId="45" xfId="0" applyFont="1" applyFill="1" applyBorder="1"/>
    <xf numFmtId="0" fontId="5" fillId="7" borderId="39" xfId="0" applyFont="1" applyFill="1" applyBorder="1"/>
    <xf numFmtId="49" fontId="7" fillId="7" borderId="85" xfId="0" applyNumberFormat="1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left"/>
    </xf>
    <xf numFmtId="2" fontId="7" fillId="7" borderId="86" xfId="0" applyNumberFormat="1" applyFont="1" applyFill="1" applyBorder="1" applyAlignment="1">
      <alignment horizontal="center"/>
    </xf>
    <xf numFmtId="1" fontId="7" fillId="7" borderId="79" xfId="0" applyNumberFormat="1" applyFont="1" applyFill="1" applyBorder="1" applyAlignment="1">
      <alignment horizontal="center"/>
    </xf>
    <xf numFmtId="0" fontId="7" fillId="7" borderId="59" xfId="0" applyFont="1" applyFill="1" applyBorder="1" applyAlignment="1">
      <alignment horizontal="center"/>
    </xf>
    <xf numFmtId="0" fontId="7" fillId="7" borderId="69" xfId="0" applyFont="1" applyFill="1" applyBorder="1"/>
    <xf numFmtId="0" fontId="7" fillId="7" borderId="70" xfId="0" applyFont="1" applyFill="1" applyBorder="1"/>
    <xf numFmtId="0" fontId="7" fillId="7" borderId="0" xfId="0" applyFont="1" applyFill="1" applyBorder="1"/>
    <xf numFmtId="49" fontId="7" fillId="7" borderId="62" xfId="0" applyNumberFormat="1" applyFont="1" applyFill="1" applyBorder="1" applyAlignment="1">
      <alignment horizontal="center" vertical="center"/>
    </xf>
    <xf numFmtId="2" fontId="7" fillId="7" borderId="33" xfId="0" applyNumberFormat="1" applyFont="1" applyFill="1" applyBorder="1" applyAlignment="1">
      <alignment horizontal="center"/>
    </xf>
    <xf numFmtId="1" fontId="7" fillId="7" borderId="73" xfId="0" applyNumberFormat="1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46" xfId="0" applyFont="1" applyFill="1" applyBorder="1"/>
    <xf numFmtId="0" fontId="7" fillId="7" borderId="49" xfId="0" applyFont="1" applyFill="1" applyBorder="1" applyAlignment="1">
      <alignment horizontal="left"/>
    </xf>
    <xf numFmtId="2" fontId="7" fillId="7" borderId="49" xfId="0" applyNumberFormat="1" applyFont="1" applyFill="1" applyBorder="1" applyAlignment="1">
      <alignment horizontal="center"/>
    </xf>
    <xf numFmtId="1" fontId="7" fillId="7" borderId="74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5" fillId="0" borderId="64" xfId="0" applyFont="1" applyFill="1" applyBorder="1"/>
    <xf numFmtId="1" fontId="3" fillId="0" borderId="14" xfId="0" applyNumberFormat="1" applyFont="1" applyFill="1" applyBorder="1"/>
    <xf numFmtId="2" fontId="5" fillId="0" borderId="24" xfId="0" applyNumberFormat="1" applyFont="1" applyFill="1" applyBorder="1" applyAlignment="1">
      <alignment horizontal="center"/>
    </xf>
    <xf numFmtId="1" fontId="7" fillId="0" borderId="81" xfId="0" applyNumberFormat="1" applyFont="1" applyFill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5" fillId="8" borderId="47" xfId="0" applyFont="1" applyFill="1" applyBorder="1"/>
    <xf numFmtId="0" fontId="5" fillId="8" borderId="44" xfId="0" applyFont="1" applyFill="1" applyBorder="1"/>
    <xf numFmtId="0" fontId="5" fillId="8" borderId="8" xfId="0" applyFont="1" applyFill="1" applyBorder="1"/>
    <xf numFmtId="0" fontId="5" fillId="8" borderId="65" xfId="0" applyFont="1" applyFill="1" applyBorder="1"/>
    <xf numFmtId="1" fontId="5" fillId="8" borderId="16" xfId="0" applyNumberFormat="1" applyFont="1" applyFill="1" applyBorder="1"/>
    <xf numFmtId="2" fontId="5" fillId="0" borderId="63" xfId="0" applyNumberFormat="1" applyFont="1" applyFill="1" applyBorder="1"/>
    <xf numFmtId="2" fontId="5" fillId="0" borderId="8" xfId="0" applyNumberFormat="1" applyFont="1" applyFill="1" applyBorder="1"/>
    <xf numFmtId="2" fontId="7" fillId="0" borderId="33" xfId="0" applyNumberFormat="1" applyFont="1" applyFill="1" applyBorder="1"/>
    <xf numFmtId="2" fontId="7" fillId="0" borderId="48" xfId="0" applyNumberFormat="1" applyFont="1" applyFill="1" applyBorder="1"/>
    <xf numFmtId="2" fontId="7" fillId="0" borderId="33" xfId="0" applyNumberFormat="1" applyFont="1" applyFill="1" applyBorder="1" applyAlignment="1"/>
    <xf numFmtId="2" fontId="7" fillId="0" borderId="0" xfId="0" applyNumberFormat="1" applyFont="1" applyFill="1"/>
    <xf numFmtId="2" fontId="3" fillId="0" borderId="33" xfId="0" applyNumberFormat="1" applyFont="1" applyFill="1" applyBorder="1" applyAlignment="1"/>
    <xf numFmtId="2" fontId="7" fillId="0" borderId="48" xfId="0" applyNumberFormat="1" applyFont="1" applyFill="1" applyBorder="1" applyAlignment="1"/>
    <xf numFmtId="2" fontId="7" fillId="0" borderId="46" xfId="0" applyNumberFormat="1" applyFont="1" applyFill="1" applyBorder="1" applyAlignment="1"/>
    <xf numFmtId="2" fontId="7" fillId="7" borderId="70" xfId="0" applyNumberFormat="1" applyFont="1" applyFill="1" applyBorder="1"/>
    <xf numFmtId="2" fontId="7" fillId="7" borderId="33" xfId="0" applyNumberFormat="1" applyFont="1" applyFill="1" applyBorder="1"/>
    <xf numFmtId="2" fontId="5" fillId="8" borderId="8" xfId="0" applyNumberFormat="1" applyFont="1" applyFill="1" applyBorder="1"/>
    <xf numFmtId="2" fontId="10" fillId="0" borderId="33" xfId="0" applyNumberFormat="1" applyFont="1" applyFill="1" applyBorder="1" applyAlignment="1"/>
    <xf numFmtId="2" fontId="13" fillId="0" borderId="0" xfId="0" applyNumberFormat="1" applyFont="1" applyFill="1"/>
    <xf numFmtId="0" fontId="7" fillId="7" borderId="55" xfId="0" applyFont="1" applyFill="1" applyBorder="1"/>
    <xf numFmtId="0" fontId="8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1" fontId="4" fillId="0" borderId="0" xfId="0" applyNumberFormat="1" applyFont="1" applyFill="1"/>
    <xf numFmtId="0" fontId="7" fillId="0" borderId="90" xfId="0" applyFont="1" applyBorder="1" applyAlignment="1">
      <alignment horizontal="left"/>
    </xf>
    <xf numFmtId="2" fontId="7" fillId="0" borderId="91" xfId="0" applyNumberFormat="1" applyFont="1" applyBorder="1" applyAlignment="1">
      <alignment horizontal="center"/>
    </xf>
    <xf numFmtId="2" fontId="7" fillId="0" borderId="92" xfId="0" applyNumberFormat="1" applyFont="1" applyBorder="1" applyAlignment="1">
      <alignment horizontal="center"/>
    </xf>
    <xf numFmtId="2" fontId="7" fillId="0" borderId="93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1" fontId="7" fillId="0" borderId="94" xfId="0" applyNumberFormat="1" applyFont="1" applyBorder="1" applyAlignment="1">
      <alignment horizontal="center"/>
    </xf>
    <xf numFmtId="2" fontId="14" fillId="0" borderId="8" xfId="0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5" fillId="3" borderId="6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6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11" sqref="K11"/>
    </sheetView>
  </sheetViews>
  <sheetFormatPr defaultRowHeight="12.75" outlineLevelRow="2" x14ac:dyDescent="0.2"/>
  <cols>
    <col min="1" max="1" width="6.7109375" bestFit="1" customWidth="1"/>
    <col min="2" max="2" width="78.5703125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10.5703125" customWidth="1"/>
    <col min="8" max="8" width="10.42578125" customWidth="1"/>
    <col min="9" max="9" width="10.28515625" customWidth="1"/>
    <col min="10" max="10" width="8" customWidth="1"/>
    <col min="11" max="11" width="9.140625" customWidth="1"/>
    <col min="12" max="13" width="9.7109375" customWidth="1"/>
    <col min="14" max="14" width="10.42578125" customWidth="1"/>
    <col min="15" max="15" width="9.5703125" bestFit="1" customWidth="1"/>
    <col min="16" max="16" width="10.5703125" bestFit="1" customWidth="1"/>
    <col min="17" max="17" width="9.85546875" customWidth="1"/>
    <col min="18" max="18" width="10.7109375" customWidth="1"/>
    <col min="19" max="19" width="9.7109375" customWidth="1"/>
  </cols>
  <sheetData>
    <row r="1" spans="1:21" x14ac:dyDescent="0.2">
      <c r="A1" s="254" t="s">
        <v>0</v>
      </c>
      <c r="B1" s="254"/>
      <c r="C1" s="254"/>
      <c r="D1" s="254"/>
      <c r="E1" s="254"/>
    </row>
    <row r="2" spans="1:21" ht="13.5" thickBot="1" x14ac:dyDescent="0.25">
      <c r="A2" s="254" t="s">
        <v>196</v>
      </c>
      <c r="B2" s="254"/>
      <c r="C2" s="254"/>
      <c r="D2" s="254"/>
      <c r="E2" s="254"/>
    </row>
    <row r="3" spans="1:21" ht="13.5" customHeight="1" thickBot="1" x14ac:dyDescent="0.25">
      <c r="A3" s="255"/>
      <c r="B3" s="255"/>
      <c r="C3" s="255"/>
      <c r="D3" s="255"/>
      <c r="E3" s="255"/>
      <c r="F3" s="251" t="s">
        <v>212</v>
      </c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  <c r="S3" s="182"/>
      <c r="T3" s="183"/>
      <c r="U3" s="183"/>
    </row>
    <row r="4" spans="1:21" ht="52.15" customHeight="1" thickBot="1" x14ac:dyDescent="0.25">
      <c r="A4" s="9" t="s">
        <v>1</v>
      </c>
      <c r="B4" s="10" t="s">
        <v>2</v>
      </c>
      <c r="C4" s="13" t="s">
        <v>67</v>
      </c>
      <c r="D4" s="13" t="s">
        <v>3</v>
      </c>
      <c r="E4" s="20" t="s">
        <v>4</v>
      </c>
      <c r="F4" s="87" t="s">
        <v>194</v>
      </c>
      <c r="G4" s="85" t="s">
        <v>89</v>
      </c>
      <c r="H4" s="14" t="s">
        <v>32</v>
      </c>
      <c r="I4" s="15" t="s">
        <v>33</v>
      </c>
      <c r="J4" s="14" t="s">
        <v>34</v>
      </c>
      <c r="K4" s="15" t="s">
        <v>35</v>
      </c>
      <c r="L4" s="14" t="s">
        <v>36</v>
      </c>
      <c r="M4" s="15" t="s">
        <v>37</v>
      </c>
      <c r="N4" s="14" t="s">
        <v>38</v>
      </c>
      <c r="O4" s="15" t="s">
        <v>39</v>
      </c>
      <c r="P4" s="14" t="s">
        <v>40</v>
      </c>
      <c r="Q4" s="15" t="s">
        <v>41</v>
      </c>
      <c r="R4" s="22" t="s">
        <v>42</v>
      </c>
      <c r="S4" s="87" t="s">
        <v>213</v>
      </c>
      <c r="T4" s="184" t="s">
        <v>43</v>
      </c>
      <c r="U4" s="184" t="s">
        <v>44</v>
      </c>
    </row>
    <row r="5" spans="1:21" ht="13.5" thickBot="1" x14ac:dyDescent="0.25">
      <c r="A5" s="26">
        <v>1</v>
      </c>
      <c r="B5" s="6" t="s">
        <v>106</v>
      </c>
      <c r="C5" s="36">
        <f>D5/D78</f>
        <v>6.2244476025307511</v>
      </c>
      <c r="D5" s="158">
        <f t="shared" ref="D5:D40" si="0">E5/12</f>
        <v>155048.5</v>
      </c>
      <c r="E5" s="63">
        <v>1860582</v>
      </c>
      <c r="F5" s="121">
        <f>79.55+79.55</f>
        <v>159.1</v>
      </c>
      <c r="G5" s="120">
        <v>62400</v>
      </c>
      <c r="H5" s="120">
        <v>146326.53</v>
      </c>
      <c r="I5" s="120">
        <v>145746.32</v>
      </c>
      <c r="J5" s="120">
        <f>33682+206595.33</f>
        <v>240277.33</v>
      </c>
      <c r="K5" s="221">
        <v>63800</v>
      </c>
      <c r="L5" s="221">
        <v>143860.43</v>
      </c>
      <c r="M5" s="221">
        <v>149962.89000000001</v>
      </c>
      <c r="N5" s="221">
        <v>176994.28</v>
      </c>
      <c r="O5" s="221">
        <v>150877.07</v>
      </c>
      <c r="P5" s="221">
        <v>179470.54</v>
      </c>
      <c r="Q5" s="221">
        <v>142876.69</v>
      </c>
      <c r="R5" s="120">
        <v>233081.60000000001</v>
      </c>
      <c r="S5" s="121"/>
      <c r="T5" s="122">
        <f>SUM(G5:S5)</f>
        <v>1835673.68</v>
      </c>
      <c r="U5" s="179">
        <f>E5-T5</f>
        <v>24908.320000000065</v>
      </c>
    </row>
    <row r="6" spans="1:21" ht="13.5" thickBot="1" x14ac:dyDescent="0.25">
      <c r="A6" s="26">
        <v>2</v>
      </c>
      <c r="B6" s="6" t="s">
        <v>117</v>
      </c>
      <c r="C6" s="36">
        <f>D6/D78</f>
        <v>0.90109837171211105</v>
      </c>
      <c r="D6" s="158">
        <f t="shared" si="0"/>
        <v>22446</v>
      </c>
      <c r="E6" s="63">
        <v>269352</v>
      </c>
      <c r="F6" s="185"/>
      <c r="G6" s="94"/>
      <c r="H6" s="88">
        <v>22446</v>
      </c>
      <c r="I6" s="88">
        <v>22446</v>
      </c>
      <c r="J6" s="88">
        <f>22446+22446</f>
        <v>44892</v>
      </c>
      <c r="K6" s="222"/>
      <c r="L6" s="222">
        <v>22446</v>
      </c>
      <c r="M6" s="222">
        <v>22446</v>
      </c>
      <c r="N6" s="222">
        <v>22446</v>
      </c>
      <c r="O6" s="222">
        <v>22446</v>
      </c>
      <c r="P6" s="222">
        <v>22446</v>
      </c>
      <c r="Q6" s="222">
        <v>22446</v>
      </c>
      <c r="R6" s="88">
        <v>44892</v>
      </c>
      <c r="S6" s="123"/>
      <c r="T6" s="122">
        <f>SUM(G6:S6)</f>
        <v>269352</v>
      </c>
      <c r="U6" s="179">
        <f>E6-T6</f>
        <v>0</v>
      </c>
    </row>
    <row r="7" spans="1:21" ht="13.5" thickBot="1" x14ac:dyDescent="0.25">
      <c r="A7" s="26">
        <v>3</v>
      </c>
      <c r="B7" s="6" t="s">
        <v>118</v>
      </c>
      <c r="C7" s="36">
        <f>D7/D78</f>
        <v>3.5294892999753782</v>
      </c>
      <c r="D7" s="158">
        <f>E7/12</f>
        <v>87918.166666666672</v>
      </c>
      <c r="E7" s="63">
        <v>1055018</v>
      </c>
      <c r="F7" s="113">
        <f>75457.59+49.99</f>
        <v>75507.58</v>
      </c>
      <c r="G7" s="89"/>
      <c r="H7" s="89">
        <v>75937.100000000006</v>
      </c>
      <c r="I7" s="89">
        <v>75198.570000000007</v>
      </c>
      <c r="J7" s="88">
        <v>81193.09</v>
      </c>
      <c r="K7" s="222">
        <v>88337.67</v>
      </c>
      <c r="L7" s="222">
        <v>25076</v>
      </c>
      <c r="M7" s="222">
        <v>140277</v>
      </c>
      <c r="N7" s="222">
        <v>86083.87</v>
      </c>
      <c r="O7" s="222">
        <v>93626.01</v>
      </c>
      <c r="P7" s="222">
        <v>89127.11</v>
      </c>
      <c r="Q7" s="222">
        <v>96461.46</v>
      </c>
      <c r="R7" s="88">
        <v>103265.67</v>
      </c>
      <c r="S7" s="113">
        <v>84247.92</v>
      </c>
      <c r="T7" s="138">
        <f>SUM(G7:S7)</f>
        <v>1038831.4700000001</v>
      </c>
      <c r="U7" s="138">
        <f>E7-T7</f>
        <v>16186.529999999912</v>
      </c>
    </row>
    <row r="8" spans="1:21" ht="13.5" thickBot="1" x14ac:dyDescent="0.25">
      <c r="A8" s="26">
        <v>4</v>
      </c>
      <c r="B8" s="6" t="s">
        <v>105</v>
      </c>
      <c r="C8" s="36">
        <f>D8/D78</f>
        <v>0.50181456145421843</v>
      </c>
      <c r="D8" s="158">
        <f t="shared" si="0"/>
        <v>12500</v>
      </c>
      <c r="E8" s="63">
        <v>150000</v>
      </c>
      <c r="F8" s="113">
        <v>933.37</v>
      </c>
      <c r="G8" s="88">
        <v>11684.35</v>
      </c>
      <c r="H8" s="88">
        <v>12385.18</v>
      </c>
      <c r="I8" s="88">
        <v>19844.89</v>
      </c>
      <c r="J8" s="88">
        <v>17952.03</v>
      </c>
      <c r="K8" s="222">
        <v>16563.669999999998</v>
      </c>
      <c r="L8" s="222">
        <v>16139.94</v>
      </c>
      <c r="M8" s="222">
        <v>20846.580000000002</v>
      </c>
      <c r="N8" s="222">
        <v>21185.279999999999</v>
      </c>
      <c r="O8" s="222">
        <v>17103.34</v>
      </c>
      <c r="P8" s="222">
        <v>20189.28</v>
      </c>
      <c r="Q8" s="222">
        <v>18537.599999999999</v>
      </c>
      <c r="R8" s="88">
        <v>22420.62</v>
      </c>
      <c r="S8" s="113">
        <v>1030.25</v>
      </c>
      <c r="T8" s="138">
        <f>SUM(G8:S8)</f>
        <v>215883.00999999998</v>
      </c>
      <c r="U8" s="138">
        <f t="shared" ref="U8:U62" si="1">E8-T8</f>
        <v>-65883.00999999998</v>
      </c>
    </row>
    <row r="9" spans="1:21" x14ac:dyDescent="0.2">
      <c r="A9" s="129">
        <v>5</v>
      </c>
      <c r="B9" s="7" t="s">
        <v>5</v>
      </c>
      <c r="C9" s="37">
        <f>D9/D78</f>
        <v>9.032662106175933E-2</v>
      </c>
      <c r="D9" s="159">
        <f t="shared" si="0"/>
        <v>2250</v>
      </c>
      <c r="E9" s="64">
        <f>E10+E11</f>
        <v>27000</v>
      </c>
      <c r="F9" s="84">
        <f t="shared" ref="F9" si="2">SUM(F10:F11)</f>
        <v>111.6</v>
      </c>
      <c r="G9" s="84">
        <f>SUM(G10:G11)</f>
        <v>4389.54</v>
      </c>
      <c r="H9" s="84">
        <f>SUM(H10:H11)</f>
        <v>1648.01</v>
      </c>
      <c r="I9" s="84">
        <f>SUM(I10:I11)</f>
        <v>1792.99</v>
      </c>
      <c r="J9" s="84">
        <f t="shared" ref="J9:S9" si="3">SUM(J10:J11)</f>
        <v>1765.8</v>
      </c>
      <c r="K9" s="68">
        <f t="shared" si="3"/>
        <v>1766.37</v>
      </c>
      <c r="L9" s="68">
        <f t="shared" si="3"/>
        <v>2863.98</v>
      </c>
      <c r="M9" s="68">
        <f t="shared" si="3"/>
        <v>1963.56</v>
      </c>
      <c r="N9" s="68">
        <f t="shared" si="3"/>
        <v>2453.0100000000002</v>
      </c>
      <c r="O9" s="68">
        <f t="shared" si="3"/>
        <v>2232.65</v>
      </c>
      <c r="P9" s="68">
        <f t="shared" si="3"/>
        <v>1993.14</v>
      </c>
      <c r="Q9" s="68">
        <f t="shared" si="3"/>
        <v>2317.6800000000003</v>
      </c>
      <c r="R9" s="84">
        <f t="shared" si="3"/>
        <v>2197.27</v>
      </c>
      <c r="S9" s="84">
        <f t="shared" si="3"/>
        <v>1955.52</v>
      </c>
      <c r="T9" s="24">
        <f t="shared" ref="T9:T18" si="4">SUM(G9:S9)</f>
        <v>29339.52</v>
      </c>
      <c r="U9" s="24">
        <f t="shared" si="1"/>
        <v>-2339.5200000000004</v>
      </c>
    </row>
    <row r="10" spans="1:21" s="54" customFormat="1" ht="12" outlineLevel="1" x14ac:dyDescent="0.2">
      <c r="A10" s="31" t="s">
        <v>45</v>
      </c>
      <c r="B10" s="43" t="s">
        <v>195</v>
      </c>
      <c r="C10" s="44">
        <f>D10/D78</f>
        <v>8.029032983267495E-2</v>
      </c>
      <c r="D10" s="160">
        <f t="shared" si="0"/>
        <v>2000</v>
      </c>
      <c r="E10" s="47">
        <v>24000</v>
      </c>
      <c r="F10" s="114">
        <v>111.6</v>
      </c>
      <c r="G10" s="90">
        <v>128.54</v>
      </c>
      <c r="H10" s="90">
        <v>120.97</v>
      </c>
      <c r="I10" s="90">
        <v>1792.99</v>
      </c>
      <c r="J10" s="90">
        <v>1765.8</v>
      </c>
      <c r="K10" s="223">
        <v>1766.37</v>
      </c>
      <c r="L10" s="223">
        <v>1800.98</v>
      </c>
      <c r="M10" s="223">
        <v>1963.56</v>
      </c>
      <c r="N10" s="223">
        <v>1828.01</v>
      </c>
      <c r="O10" s="223">
        <v>2010.65</v>
      </c>
      <c r="P10" s="223">
        <v>1863.14</v>
      </c>
      <c r="Q10" s="223">
        <v>1865.68</v>
      </c>
      <c r="R10" s="90">
        <v>1768.27</v>
      </c>
      <c r="S10" s="114">
        <v>1955.52</v>
      </c>
      <c r="T10" s="53">
        <f t="shared" si="4"/>
        <v>20630.48</v>
      </c>
      <c r="U10" s="53">
        <f t="shared" si="1"/>
        <v>3369.5200000000004</v>
      </c>
    </row>
    <row r="11" spans="1:21" s="54" customFormat="1" outlineLevel="1" thickBot="1" x14ac:dyDescent="0.25">
      <c r="A11" s="31" t="s">
        <v>46</v>
      </c>
      <c r="B11" s="50" t="s">
        <v>6</v>
      </c>
      <c r="C11" s="51">
        <f>D11/D78</f>
        <v>1.0036291229084369E-2</v>
      </c>
      <c r="D11" s="161">
        <f t="shared" si="0"/>
        <v>250</v>
      </c>
      <c r="E11" s="65">
        <v>3000</v>
      </c>
      <c r="F11" s="115"/>
      <c r="G11" s="91">
        <v>4261</v>
      </c>
      <c r="H11" s="91">
        <v>1527.04</v>
      </c>
      <c r="I11" s="91"/>
      <c r="J11" s="91"/>
      <c r="K11" s="224"/>
      <c r="L11" s="224">
        <v>1063</v>
      </c>
      <c r="M11" s="224"/>
      <c r="N11" s="224">
        <v>625</v>
      </c>
      <c r="O11" s="224">
        <v>222</v>
      </c>
      <c r="P11" s="224">
        <v>130</v>
      </c>
      <c r="Q11" s="224">
        <v>452</v>
      </c>
      <c r="R11" s="91">
        <v>429</v>
      </c>
      <c r="S11" s="115"/>
      <c r="T11" s="53">
        <f t="shared" si="4"/>
        <v>8709.0400000000009</v>
      </c>
      <c r="U11" s="66">
        <f t="shared" si="1"/>
        <v>-5709.0400000000009</v>
      </c>
    </row>
    <row r="12" spans="1:21" x14ac:dyDescent="0.2">
      <c r="A12" s="27" t="s">
        <v>107</v>
      </c>
      <c r="B12" s="7" t="s">
        <v>7</v>
      </c>
      <c r="C12" s="37">
        <f>D12/D78</f>
        <v>0.22748926785924573</v>
      </c>
      <c r="D12" s="159">
        <f t="shared" si="0"/>
        <v>5666.666666666667</v>
      </c>
      <c r="E12" s="64">
        <f>E13+E14</f>
        <v>68000</v>
      </c>
      <c r="F12" s="68">
        <f t="shared" ref="F12" si="5">SUM(F13:F14)</f>
        <v>0</v>
      </c>
      <c r="G12" s="68">
        <f t="shared" ref="G12:S12" si="6">SUM(G13:G14)</f>
        <v>0</v>
      </c>
      <c r="H12" s="68">
        <f>SUM(H13:H14)</f>
        <v>5500</v>
      </c>
      <c r="I12" s="68">
        <f>SUM(I13:I14)</f>
        <v>5500</v>
      </c>
      <c r="J12" s="68">
        <f t="shared" si="6"/>
        <v>11000</v>
      </c>
      <c r="K12" s="68">
        <f t="shared" si="6"/>
        <v>0</v>
      </c>
      <c r="L12" s="68">
        <f t="shared" si="6"/>
        <v>5500</v>
      </c>
      <c r="M12" s="68">
        <f t="shared" si="6"/>
        <v>5500</v>
      </c>
      <c r="N12" s="68">
        <f t="shared" si="6"/>
        <v>5500</v>
      </c>
      <c r="O12" s="68">
        <f t="shared" si="6"/>
        <v>5500</v>
      </c>
      <c r="P12" s="68">
        <f t="shared" si="6"/>
        <v>5500</v>
      </c>
      <c r="Q12" s="68">
        <f t="shared" si="6"/>
        <v>5500</v>
      </c>
      <c r="R12" s="68">
        <f t="shared" si="6"/>
        <v>11000</v>
      </c>
      <c r="S12" s="68">
        <f t="shared" si="6"/>
        <v>0</v>
      </c>
      <c r="T12" s="24">
        <f t="shared" si="4"/>
        <v>66000</v>
      </c>
      <c r="U12" s="24">
        <f t="shared" si="1"/>
        <v>2000</v>
      </c>
    </row>
    <row r="13" spans="1:21" s="54" customFormat="1" ht="12" outlineLevel="1" x14ac:dyDescent="0.2">
      <c r="A13" s="31" t="s">
        <v>131</v>
      </c>
      <c r="B13" s="67" t="s">
        <v>8</v>
      </c>
      <c r="C13" s="44">
        <f>D13/D78</f>
        <v>0.22079840703985612</v>
      </c>
      <c r="D13" s="214">
        <f t="shared" si="0"/>
        <v>5500</v>
      </c>
      <c r="E13" s="47">
        <v>66000</v>
      </c>
      <c r="F13" s="116"/>
      <c r="G13" s="69"/>
      <c r="H13" s="69">
        <v>5500</v>
      </c>
      <c r="I13" s="69">
        <v>5500</v>
      </c>
      <c r="J13" s="69">
        <f>5000+6000</f>
        <v>11000</v>
      </c>
      <c r="K13" s="225"/>
      <c r="L13" s="225">
        <v>5500</v>
      </c>
      <c r="M13" s="225">
        <v>5500</v>
      </c>
      <c r="N13" s="225">
        <v>5500</v>
      </c>
      <c r="O13" s="225">
        <v>5500</v>
      </c>
      <c r="P13" s="225">
        <v>5500</v>
      </c>
      <c r="Q13" s="225">
        <v>5500</v>
      </c>
      <c r="R13" s="69">
        <v>11000</v>
      </c>
      <c r="S13" s="116"/>
      <c r="T13" s="53">
        <f t="shared" si="4"/>
        <v>66000</v>
      </c>
      <c r="U13" s="53">
        <f t="shared" si="1"/>
        <v>0</v>
      </c>
    </row>
    <row r="14" spans="1:21" s="54" customFormat="1" outlineLevel="1" thickBot="1" x14ac:dyDescent="0.25">
      <c r="A14" s="31" t="s">
        <v>132</v>
      </c>
      <c r="B14" s="43" t="s">
        <v>9</v>
      </c>
      <c r="C14" s="44">
        <f>D14/D78</f>
        <v>6.6908608193895795E-3</v>
      </c>
      <c r="D14" s="160">
        <f t="shared" si="0"/>
        <v>166.66666666666666</v>
      </c>
      <c r="E14" s="47">
        <v>2000</v>
      </c>
      <c r="F14" s="69"/>
      <c r="G14" s="69"/>
      <c r="H14" s="69"/>
      <c r="I14" s="69"/>
      <c r="J14" s="69"/>
      <c r="K14" s="225"/>
      <c r="L14" s="225"/>
      <c r="M14" s="225"/>
      <c r="N14" s="225"/>
      <c r="O14" s="225"/>
      <c r="P14" s="225"/>
      <c r="Q14" s="225"/>
      <c r="R14" s="69"/>
      <c r="S14" s="69"/>
      <c r="T14" s="52">
        <f t="shared" si="4"/>
        <v>0</v>
      </c>
      <c r="U14" s="53">
        <f t="shared" si="1"/>
        <v>2000</v>
      </c>
    </row>
    <row r="15" spans="1:21" ht="13.5" thickBot="1" x14ac:dyDescent="0.25">
      <c r="A15" s="28" t="s">
        <v>108</v>
      </c>
      <c r="B15" s="6" t="s">
        <v>11</v>
      </c>
      <c r="C15" s="36">
        <f>D15/D78</f>
        <v>9.032662106175933E-2</v>
      </c>
      <c r="D15" s="158">
        <f t="shared" si="0"/>
        <v>2250</v>
      </c>
      <c r="E15" s="63">
        <v>27000</v>
      </c>
      <c r="F15" s="185"/>
      <c r="G15" s="94"/>
      <c r="H15" s="88"/>
      <c r="I15" s="88"/>
      <c r="J15" s="88"/>
      <c r="K15" s="222"/>
      <c r="L15" s="222"/>
      <c r="M15" s="222"/>
      <c r="N15" s="222">
        <v>2264</v>
      </c>
      <c r="O15" s="222"/>
      <c r="P15" s="222"/>
      <c r="Q15" s="222"/>
      <c r="R15" s="88"/>
      <c r="S15" s="123"/>
      <c r="T15" s="23">
        <f>SUM(G15:S15)</f>
        <v>2264</v>
      </c>
      <c r="U15" s="23">
        <f t="shared" si="1"/>
        <v>24736</v>
      </c>
    </row>
    <row r="16" spans="1:21" x14ac:dyDescent="0.2">
      <c r="A16" s="27" t="s">
        <v>109</v>
      </c>
      <c r="B16" s="7" t="s">
        <v>69</v>
      </c>
      <c r="C16" s="37">
        <f>D16/D78</f>
        <v>0.23652192996542165</v>
      </c>
      <c r="D16" s="159">
        <f t="shared" si="0"/>
        <v>5891.666666666667</v>
      </c>
      <c r="E16" s="64">
        <f>SUM(E17:E19)</f>
        <v>70700</v>
      </c>
      <c r="F16" s="103">
        <f t="shared" ref="F16" si="7">SUM(F17:F19)</f>
        <v>0</v>
      </c>
      <c r="G16" s="70">
        <f t="shared" ref="G16:S16" si="8">SUM(G17:G19)</f>
        <v>29364</v>
      </c>
      <c r="H16" s="70">
        <f t="shared" si="8"/>
        <v>1729</v>
      </c>
      <c r="I16" s="70">
        <f t="shared" si="8"/>
        <v>8569.89</v>
      </c>
      <c r="J16" s="70">
        <f t="shared" si="8"/>
        <v>4448</v>
      </c>
      <c r="K16" s="70">
        <f t="shared" si="8"/>
        <v>2766</v>
      </c>
      <c r="L16" s="70">
        <f t="shared" si="8"/>
        <v>2124.2200000000003</v>
      </c>
      <c r="M16" s="70">
        <f t="shared" si="8"/>
        <v>4946.18</v>
      </c>
      <c r="N16" s="70">
        <f>SUM(N17:N19)</f>
        <v>0</v>
      </c>
      <c r="O16" s="70">
        <f t="shared" si="8"/>
        <v>960</v>
      </c>
      <c r="P16" s="70">
        <f t="shared" si="8"/>
        <v>75</v>
      </c>
      <c r="Q16" s="70">
        <f t="shared" si="8"/>
        <v>5000</v>
      </c>
      <c r="R16" s="70">
        <f t="shared" si="8"/>
        <v>3879</v>
      </c>
      <c r="S16" s="103">
        <f t="shared" si="8"/>
        <v>0</v>
      </c>
      <c r="T16" s="24">
        <f t="shared" si="4"/>
        <v>63861.29</v>
      </c>
      <c r="U16" s="24">
        <f t="shared" si="1"/>
        <v>6838.7099999999991</v>
      </c>
    </row>
    <row r="17" spans="1:21" s="54" customFormat="1" ht="12.75" customHeight="1" outlineLevel="1" x14ac:dyDescent="0.2">
      <c r="A17" s="31" t="s">
        <v>47</v>
      </c>
      <c r="B17" s="43" t="s">
        <v>88</v>
      </c>
      <c r="C17" s="44">
        <f>D17/D78</f>
        <v>8.3635760242369753E-2</v>
      </c>
      <c r="D17" s="160">
        <f t="shared" si="0"/>
        <v>2083.3333333333335</v>
      </c>
      <c r="E17" s="47">
        <v>25000</v>
      </c>
      <c r="F17" s="105"/>
      <c r="G17" s="72"/>
      <c r="H17" s="72">
        <v>129</v>
      </c>
      <c r="I17" s="72">
        <v>6019.89</v>
      </c>
      <c r="J17" s="72">
        <v>1348</v>
      </c>
      <c r="K17" s="225"/>
      <c r="L17" s="225">
        <v>1324.22</v>
      </c>
      <c r="M17" s="225">
        <f>4612.18+334</f>
        <v>4946.18</v>
      </c>
      <c r="N17" s="225"/>
      <c r="O17" s="225">
        <v>160</v>
      </c>
      <c r="P17" s="225">
        <v>75</v>
      </c>
      <c r="Q17" s="225"/>
      <c r="R17" s="72"/>
      <c r="S17" s="105"/>
      <c r="T17" s="53">
        <f t="shared" si="4"/>
        <v>14002.29</v>
      </c>
      <c r="U17" s="53">
        <f t="shared" si="1"/>
        <v>10997.71</v>
      </c>
    </row>
    <row r="18" spans="1:21" s="54" customFormat="1" ht="12" outlineLevel="1" x14ac:dyDescent="0.2">
      <c r="A18" s="31" t="s">
        <v>48</v>
      </c>
      <c r="B18" s="43" t="s">
        <v>72</v>
      </c>
      <c r="C18" s="44">
        <f>D18/D78</f>
        <v>2.341801286786353E-2</v>
      </c>
      <c r="D18" s="160">
        <f t="shared" si="0"/>
        <v>583.33333333333337</v>
      </c>
      <c r="E18" s="47">
        <v>7000</v>
      </c>
      <c r="F18" s="105"/>
      <c r="G18" s="72">
        <v>1000</v>
      </c>
      <c r="H18" s="72">
        <v>1600</v>
      </c>
      <c r="I18" s="72">
        <v>2550</v>
      </c>
      <c r="J18" s="72"/>
      <c r="K18" s="225">
        <v>2766</v>
      </c>
      <c r="L18" s="225">
        <v>800</v>
      </c>
      <c r="M18" s="226"/>
      <c r="N18" s="225"/>
      <c r="O18" s="225">
        <v>800</v>
      </c>
      <c r="P18" s="225"/>
      <c r="Q18" s="225"/>
      <c r="R18" s="72">
        <f>2660+1219</f>
        <v>3879</v>
      </c>
      <c r="S18" s="105"/>
      <c r="T18" s="53">
        <f t="shared" si="4"/>
        <v>13395</v>
      </c>
      <c r="U18" s="53">
        <f t="shared" si="1"/>
        <v>-6395</v>
      </c>
    </row>
    <row r="19" spans="1:21" s="54" customFormat="1" ht="12" outlineLevel="1" x14ac:dyDescent="0.2">
      <c r="A19" s="31" t="s">
        <v>49</v>
      </c>
      <c r="B19" s="43" t="s">
        <v>68</v>
      </c>
      <c r="C19" s="44">
        <f>D19/D78</f>
        <v>0.12946815685518837</v>
      </c>
      <c r="D19" s="160">
        <f t="shared" si="0"/>
        <v>3225</v>
      </c>
      <c r="E19" s="47">
        <f>SUM(E20:E21)</f>
        <v>38700</v>
      </c>
      <c r="F19" s="72"/>
      <c r="G19" s="72">
        <f t="shared" ref="G19:S19" si="9">SUM(G20:G21)</f>
        <v>28364</v>
      </c>
      <c r="H19" s="72">
        <f t="shared" si="9"/>
        <v>0</v>
      </c>
      <c r="I19" s="72">
        <f t="shared" si="9"/>
        <v>0</v>
      </c>
      <c r="J19" s="72">
        <f t="shared" si="9"/>
        <v>3100</v>
      </c>
      <c r="K19" s="72">
        <f t="shared" si="9"/>
        <v>0</v>
      </c>
      <c r="L19" s="72">
        <f t="shared" si="9"/>
        <v>0</v>
      </c>
      <c r="M19" s="72">
        <f t="shared" si="9"/>
        <v>0</v>
      </c>
      <c r="N19" s="72">
        <f t="shared" si="9"/>
        <v>0</v>
      </c>
      <c r="O19" s="72">
        <f t="shared" si="9"/>
        <v>0</v>
      </c>
      <c r="P19" s="72">
        <f t="shared" si="9"/>
        <v>0</v>
      </c>
      <c r="Q19" s="72">
        <f t="shared" si="9"/>
        <v>5000</v>
      </c>
      <c r="R19" s="72">
        <f t="shared" si="9"/>
        <v>0</v>
      </c>
      <c r="S19" s="72">
        <f t="shared" si="9"/>
        <v>0</v>
      </c>
      <c r="T19" s="53">
        <f>SUM(G19:S19)</f>
        <v>36464</v>
      </c>
      <c r="U19" s="125">
        <f t="shared" si="1"/>
        <v>2236</v>
      </c>
    </row>
    <row r="20" spans="1:21" s="12" customFormat="1" ht="11.25" outlineLevel="2" x14ac:dyDescent="0.2">
      <c r="A20" s="29" t="s">
        <v>135</v>
      </c>
      <c r="B20" s="73" t="s">
        <v>197</v>
      </c>
      <c r="C20" s="38">
        <f>D20/D78</f>
        <v>0.11274100480671442</v>
      </c>
      <c r="D20" s="162">
        <f t="shared" si="0"/>
        <v>2808.3333333333335</v>
      </c>
      <c r="E20" s="80">
        <v>33700</v>
      </c>
      <c r="F20" s="118"/>
      <c r="G20" s="92">
        <v>27980</v>
      </c>
      <c r="H20" s="92"/>
      <c r="I20" s="92"/>
      <c r="J20" s="92"/>
      <c r="K20" s="227"/>
      <c r="L20" s="227"/>
      <c r="M20" s="227"/>
      <c r="N20" s="233"/>
      <c r="O20" s="227"/>
      <c r="P20" s="227"/>
      <c r="Q20" s="227">
        <v>5000</v>
      </c>
      <c r="R20" s="92"/>
      <c r="S20" s="118"/>
      <c r="T20" s="212">
        <f t="shared" ref="T20:T23" si="10">SUM(G20:S20)</f>
        <v>32980</v>
      </c>
      <c r="U20" s="21">
        <f t="shared" si="1"/>
        <v>720</v>
      </c>
    </row>
    <row r="21" spans="1:21" s="12" customFormat="1" ht="12" outlineLevel="2" thickBot="1" x14ac:dyDescent="0.25">
      <c r="A21" s="29" t="s">
        <v>136</v>
      </c>
      <c r="B21" s="73" t="s">
        <v>93</v>
      </c>
      <c r="C21" s="38">
        <f>D21/D78</f>
        <v>1.6727152048473949E-2</v>
      </c>
      <c r="D21" s="162">
        <f t="shared" si="0"/>
        <v>416.66666666666669</v>
      </c>
      <c r="E21" s="80">
        <v>5000</v>
      </c>
      <c r="F21" s="118"/>
      <c r="G21" s="92">
        <v>384</v>
      </c>
      <c r="H21" s="92"/>
      <c r="I21" s="92"/>
      <c r="J21" s="92">
        <v>3100</v>
      </c>
      <c r="K21" s="227"/>
      <c r="L21" s="227"/>
      <c r="M21" s="227"/>
      <c r="N21" s="227"/>
      <c r="O21" s="227"/>
      <c r="P21" s="227"/>
      <c r="Q21" s="227"/>
      <c r="R21" s="92"/>
      <c r="S21" s="118"/>
      <c r="T21" s="21">
        <f t="shared" si="10"/>
        <v>3484</v>
      </c>
      <c r="U21" s="21">
        <f t="shared" si="1"/>
        <v>1516</v>
      </c>
    </row>
    <row r="22" spans="1:21" x14ac:dyDescent="0.2">
      <c r="A22" s="27" t="s">
        <v>110</v>
      </c>
      <c r="B22" s="7" t="s">
        <v>12</v>
      </c>
      <c r="C22" s="37">
        <f>D22/D78</f>
        <v>0.11709006433931764</v>
      </c>
      <c r="D22" s="159">
        <f t="shared" si="0"/>
        <v>2916.6666666666665</v>
      </c>
      <c r="E22" s="64">
        <f>SUM(E23:E26)</f>
        <v>35000</v>
      </c>
      <c r="F22" s="103">
        <f t="shared" ref="F22" si="11">SUM(F23:F26)</f>
        <v>0</v>
      </c>
      <c r="G22" s="70">
        <f t="shared" ref="G22:S22" si="12">SUM(G23:G26)</f>
        <v>596.04999999999995</v>
      </c>
      <c r="H22" s="70">
        <f t="shared" si="12"/>
        <v>3189.7</v>
      </c>
      <c r="I22" s="70">
        <f>SUM(I23:I26)</f>
        <v>5983.3</v>
      </c>
      <c r="J22" s="70">
        <f t="shared" si="12"/>
        <v>4965.0200000000004</v>
      </c>
      <c r="K22" s="70">
        <f t="shared" si="12"/>
        <v>5855</v>
      </c>
      <c r="L22" s="70">
        <f t="shared" si="12"/>
        <v>1105</v>
      </c>
      <c r="M22" s="70">
        <f t="shared" si="12"/>
        <v>1167.3163</v>
      </c>
      <c r="N22" s="70">
        <f>SUM(N23:N26)</f>
        <v>696.74</v>
      </c>
      <c r="O22" s="70">
        <f t="shared" si="12"/>
        <v>8328.86</v>
      </c>
      <c r="P22" s="70">
        <f t="shared" si="12"/>
        <v>734.77</v>
      </c>
      <c r="Q22" s="70">
        <f t="shared" si="12"/>
        <v>607</v>
      </c>
      <c r="R22" s="70">
        <f t="shared" si="12"/>
        <v>7711.7099999999991</v>
      </c>
      <c r="S22" s="103">
        <f t="shared" si="12"/>
        <v>0</v>
      </c>
      <c r="T22" s="24">
        <f t="shared" si="10"/>
        <v>40940.4663</v>
      </c>
      <c r="U22" s="24">
        <f t="shared" si="1"/>
        <v>-5940.4663</v>
      </c>
    </row>
    <row r="23" spans="1:21" s="54" customFormat="1" ht="12" outlineLevel="1" x14ac:dyDescent="0.2">
      <c r="A23" s="31" t="s">
        <v>50</v>
      </c>
      <c r="B23" s="43" t="s">
        <v>178</v>
      </c>
      <c r="C23" s="44">
        <f>D23/D78</f>
        <v>6.6908608193895797E-2</v>
      </c>
      <c r="D23" s="160">
        <f t="shared" si="0"/>
        <v>1666.6666666666667</v>
      </c>
      <c r="E23" s="47">
        <v>20000</v>
      </c>
      <c r="F23" s="105"/>
      <c r="G23" s="72">
        <v>380.15</v>
      </c>
      <c r="H23" s="72">
        <v>1489.7</v>
      </c>
      <c r="I23" s="72">
        <v>4032.1</v>
      </c>
      <c r="J23" s="72">
        <f>4295+281.02</f>
        <v>4576.0200000000004</v>
      </c>
      <c r="K23" s="225">
        <f>529.6+4708.4</f>
        <v>5238</v>
      </c>
      <c r="L23" s="225">
        <v>180</v>
      </c>
      <c r="M23" s="225">
        <f>1167.3163</f>
        <v>1167.3163</v>
      </c>
      <c r="N23" s="225">
        <v>396.74</v>
      </c>
      <c r="O23" s="225">
        <f>6416.86+560</f>
        <v>6976.86</v>
      </c>
      <c r="P23" s="225">
        <v>734.77</v>
      </c>
      <c r="Q23" s="225"/>
      <c r="R23" s="72">
        <f>6170.74+4640.97-4050</f>
        <v>6761.7099999999991</v>
      </c>
      <c r="S23" s="105"/>
      <c r="T23" s="53">
        <f t="shared" si="10"/>
        <v>31933.366300000002</v>
      </c>
      <c r="U23" s="125">
        <f t="shared" si="1"/>
        <v>-11933.366300000002</v>
      </c>
    </row>
    <row r="24" spans="1:21" s="54" customFormat="1" ht="12" outlineLevel="1" x14ac:dyDescent="0.2">
      <c r="A24" s="31" t="s">
        <v>51</v>
      </c>
      <c r="B24" s="43" t="s">
        <v>15</v>
      </c>
      <c r="C24" s="44">
        <f>D24/D78</f>
        <v>1.6727152048473949E-2</v>
      </c>
      <c r="D24" s="160">
        <f t="shared" si="0"/>
        <v>416.66666666666669</v>
      </c>
      <c r="E24" s="47">
        <v>5000</v>
      </c>
      <c r="F24" s="105"/>
      <c r="G24" s="72"/>
      <c r="H24" s="72"/>
      <c r="I24" s="72">
        <v>1951.2</v>
      </c>
      <c r="J24" s="72">
        <v>0</v>
      </c>
      <c r="K24" s="225">
        <v>228</v>
      </c>
      <c r="L24" s="225"/>
      <c r="M24" s="225"/>
      <c r="N24" s="225"/>
      <c r="O24" s="225">
        <v>1352</v>
      </c>
      <c r="P24" s="225"/>
      <c r="Q24" s="225">
        <v>607</v>
      </c>
      <c r="R24" s="72"/>
      <c r="S24" s="105"/>
      <c r="T24" s="53">
        <f t="shared" ref="T24:T63" si="13">SUM(G24:S24)</f>
        <v>4138.2</v>
      </c>
      <c r="U24" s="53">
        <f t="shared" si="1"/>
        <v>861.80000000000018</v>
      </c>
    </row>
    <row r="25" spans="1:21" s="54" customFormat="1" ht="12" outlineLevel="1" x14ac:dyDescent="0.2">
      <c r="A25" s="31" t="s">
        <v>52</v>
      </c>
      <c r="B25" s="43" t="s">
        <v>198</v>
      </c>
      <c r="C25" s="44">
        <f>D25/D78</f>
        <v>3.3454304096947898E-2</v>
      </c>
      <c r="D25" s="160">
        <f t="shared" si="0"/>
        <v>833.33333333333337</v>
      </c>
      <c r="E25" s="47">
        <v>10000</v>
      </c>
      <c r="F25" s="105"/>
      <c r="G25" s="72">
        <v>215.9</v>
      </c>
      <c r="H25" s="72"/>
      <c r="I25" s="72"/>
      <c r="J25" s="72">
        <v>389</v>
      </c>
      <c r="K25" s="225">
        <v>389</v>
      </c>
      <c r="L25" s="225">
        <f>720+205</f>
        <v>925</v>
      </c>
      <c r="M25" s="225"/>
      <c r="N25" s="225">
        <v>300</v>
      </c>
      <c r="O25" s="225"/>
      <c r="P25" s="225"/>
      <c r="Q25" s="225"/>
      <c r="R25" s="72">
        <v>950</v>
      </c>
      <c r="S25" s="105"/>
      <c r="T25" s="53">
        <f t="shared" si="13"/>
        <v>3168.9</v>
      </c>
      <c r="U25" s="53">
        <f t="shared" si="1"/>
        <v>6831.1</v>
      </c>
    </row>
    <row r="26" spans="1:21" s="54" customFormat="1" outlineLevel="1" thickBot="1" x14ac:dyDescent="0.25">
      <c r="A26" s="32" t="s">
        <v>53</v>
      </c>
      <c r="B26" s="50" t="s">
        <v>84</v>
      </c>
      <c r="C26" s="51">
        <f>D26/D78</f>
        <v>0</v>
      </c>
      <c r="D26" s="161">
        <f t="shared" si="0"/>
        <v>0</v>
      </c>
      <c r="E26" s="65">
        <v>0</v>
      </c>
      <c r="F26" s="119"/>
      <c r="G26" s="93"/>
      <c r="H26" s="117">
        <v>1700</v>
      </c>
      <c r="I26" s="93"/>
      <c r="J26" s="93"/>
      <c r="K26" s="228"/>
      <c r="L26" s="228"/>
      <c r="M26" s="228"/>
      <c r="N26" s="228"/>
      <c r="O26" s="228"/>
      <c r="P26" s="228"/>
      <c r="Q26" s="228"/>
      <c r="R26" s="93"/>
      <c r="S26" s="119"/>
      <c r="T26" s="66">
        <f t="shared" si="13"/>
        <v>1700</v>
      </c>
      <c r="U26" s="66">
        <f t="shared" si="1"/>
        <v>-1700</v>
      </c>
    </row>
    <row r="27" spans="1:21" ht="27" customHeight="1" x14ac:dyDescent="0.2">
      <c r="A27" s="27" t="s">
        <v>111</v>
      </c>
      <c r="B27" s="8" t="s">
        <v>17</v>
      </c>
      <c r="C27" s="41">
        <f>D27/D78</f>
        <v>1.1347699949684729</v>
      </c>
      <c r="D27" s="163">
        <f t="shared" si="0"/>
        <v>28266.666666666668</v>
      </c>
      <c r="E27" s="81">
        <f t="shared" ref="E27:S27" si="14">SUM(E28:E40)</f>
        <v>339200</v>
      </c>
      <c r="F27" s="104">
        <f t="shared" si="14"/>
        <v>69800</v>
      </c>
      <c r="G27" s="71">
        <f t="shared" si="14"/>
        <v>5706</v>
      </c>
      <c r="H27" s="71">
        <f t="shared" si="14"/>
        <v>25314</v>
      </c>
      <c r="I27" s="71">
        <f t="shared" si="14"/>
        <v>11312</v>
      </c>
      <c r="J27" s="71">
        <f t="shared" si="14"/>
        <v>12150</v>
      </c>
      <c r="K27" s="71">
        <f t="shared" si="14"/>
        <v>11300</v>
      </c>
      <c r="L27" s="71">
        <f t="shared" si="14"/>
        <v>37617.25</v>
      </c>
      <c r="M27" s="71">
        <f t="shared" si="14"/>
        <v>19224</v>
      </c>
      <c r="N27" s="71">
        <f t="shared" si="14"/>
        <v>10700</v>
      </c>
      <c r="O27" s="71">
        <f t="shared" si="14"/>
        <v>11515</v>
      </c>
      <c r="P27" s="71">
        <f t="shared" si="14"/>
        <v>28064.62</v>
      </c>
      <c r="Q27" s="71">
        <f t="shared" si="14"/>
        <v>13065</v>
      </c>
      <c r="R27" s="71">
        <f t="shared" si="14"/>
        <v>36926</v>
      </c>
      <c r="S27" s="104">
        <f t="shared" si="14"/>
        <v>11300</v>
      </c>
      <c r="T27" s="107">
        <f t="shared" si="13"/>
        <v>234193.87</v>
      </c>
      <c r="U27" s="108">
        <f t="shared" si="1"/>
        <v>105006.13</v>
      </c>
    </row>
    <row r="28" spans="1:21" s="54" customFormat="1" ht="12" outlineLevel="1" x14ac:dyDescent="0.2">
      <c r="A28" s="31" t="s">
        <v>56</v>
      </c>
      <c r="B28" s="146" t="s">
        <v>191</v>
      </c>
      <c r="C28" s="244">
        <f>D28/D78</f>
        <v>6.021774737450622E-2</v>
      </c>
      <c r="D28" s="160">
        <f t="shared" si="0"/>
        <v>1500</v>
      </c>
      <c r="E28" s="47">
        <v>18000</v>
      </c>
      <c r="F28" s="105"/>
      <c r="G28" s="72">
        <v>462</v>
      </c>
      <c r="H28" s="72">
        <v>7540</v>
      </c>
      <c r="I28" s="72">
        <v>762</v>
      </c>
      <c r="J28" s="72"/>
      <c r="K28" s="225"/>
      <c r="L28" s="225"/>
      <c r="M28" s="225"/>
      <c r="N28" s="225"/>
      <c r="O28" s="225"/>
      <c r="P28" s="225">
        <v>462</v>
      </c>
      <c r="Q28" s="225"/>
      <c r="R28" s="72">
        <f>13692+462</f>
        <v>14154</v>
      </c>
      <c r="S28" s="105"/>
      <c r="T28" s="53">
        <f t="shared" si="13"/>
        <v>23380</v>
      </c>
      <c r="U28" s="53">
        <f t="shared" si="1"/>
        <v>-5380</v>
      </c>
    </row>
    <row r="29" spans="1:21" s="54" customFormat="1" ht="12" outlineLevel="1" x14ac:dyDescent="0.2">
      <c r="A29" s="31" t="s">
        <v>57</v>
      </c>
      <c r="B29" s="144" t="s">
        <v>190</v>
      </c>
      <c r="C29" s="244">
        <f>D29/D78</f>
        <v>0.20072582458168739</v>
      </c>
      <c r="D29" s="160">
        <f t="shared" si="0"/>
        <v>5000</v>
      </c>
      <c r="E29" s="47">
        <v>60000</v>
      </c>
      <c r="F29" s="105">
        <v>5000</v>
      </c>
      <c r="G29" s="72"/>
      <c r="H29" s="72">
        <v>5000</v>
      </c>
      <c r="I29" s="72">
        <v>5000</v>
      </c>
      <c r="J29" s="72">
        <v>6350</v>
      </c>
      <c r="K29" s="225">
        <v>5000</v>
      </c>
      <c r="L29" s="225">
        <v>5000</v>
      </c>
      <c r="M29" s="225">
        <v>5000</v>
      </c>
      <c r="N29" s="225">
        <v>5000</v>
      </c>
      <c r="O29" s="225">
        <v>5000</v>
      </c>
      <c r="P29" s="225">
        <v>5000</v>
      </c>
      <c r="Q29" s="225">
        <v>5000</v>
      </c>
      <c r="R29" s="72">
        <v>5000</v>
      </c>
      <c r="S29" s="105">
        <v>5000</v>
      </c>
      <c r="T29" s="125">
        <f t="shared" si="13"/>
        <v>61350</v>
      </c>
      <c r="U29" s="125">
        <f t="shared" si="1"/>
        <v>-1350</v>
      </c>
    </row>
    <row r="30" spans="1:21" s="54" customFormat="1" ht="12" outlineLevel="1" x14ac:dyDescent="0.2">
      <c r="A30" s="31" t="s">
        <v>58</v>
      </c>
      <c r="B30" s="243" t="s">
        <v>208</v>
      </c>
      <c r="C30" s="244">
        <f>D30/D78</f>
        <v>0.15054436843626554</v>
      </c>
      <c r="D30" s="160">
        <f t="shared" si="0"/>
        <v>3750</v>
      </c>
      <c r="E30" s="236">
        <v>45000</v>
      </c>
      <c r="F30" s="105">
        <v>64000</v>
      </c>
      <c r="G30" s="72">
        <v>3000</v>
      </c>
      <c r="H30" s="72">
        <v>3000</v>
      </c>
      <c r="I30" s="72">
        <v>3000</v>
      </c>
      <c r="J30" s="72">
        <v>3000</v>
      </c>
      <c r="K30" s="225">
        <v>3000</v>
      </c>
      <c r="L30" s="225">
        <v>3000</v>
      </c>
      <c r="M30" s="225">
        <v>3000</v>
      </c>
      <c r="N30" s="225">
        <v>3000</v>
      </c>
      <c r="O30" s="225">
        <v>3000</v>
      </c>
      <c r="P30" s="225"/>
      <c r="Q30" s="225">
        <v>6000</v>
      </c>
      <c r="R30" s="72">
        <v>10400</v>
      </c>
      <c r="S30" s="105">
        <v>3600</v>
      </c>
      <c r="T30" s="53">
        <f t="shared" si="13"/>
        <v>47000</v>
      </c>
      <c r="U30" s="53">
        <f t="shared" si="1"/>
        <v>-2000</v>
      </c>
    </row>
    <row r="31" spans="1:21" s="54" customFormat="1" ht="12" outlineLevel="1" x14ac:dyDescent="0.2">
      <c r="A31" s="31" t="s">
        <v>73</v>
      </c>
      <c r="B31" s="146" t="s">
        <v>181</v>
      </c>
      <c r="C31" s="244">
        <f>D31/D78</f>
        <v>3.3454304096947898E-2</v>
      </c>
      <c r="D31" s="160">
        <f t="shared" si="0"/>
        <v>833.33333333333337</v>
      </c>
      <c r="E31" s="47">
        <v>10000</v>
      </c>
      <c r="F31" s="105"/>
      <c r="G31" s="72"/>
      <c r="H31" s="72"/>
      <c r="I31" s="72"/>
      <c r="J31" s="72"/>
      <c r="K31" s="225"/>
      <c r="L31" s="226"/>
      <c r="M31" s="225"/>
      <c r="N31" s="225"/>
      <c r="O31" s="225"/>
      <c r="P31" s="225"/>
      <c r="Q31" s="225"/>
      <c r="R31" s="72"/>
      <c r="S31" s="105"/>
      <c r="T31" s="53">
        <f t="shared" si="13"/>
        <v>0</v>
      </c>
      <c r="U31" s="53">
        <f t="shared" si="1"/>
        <v>10000</v>
      </c>
    </row>
    <row r="32" spans="1:21" s="54" customFormat="1" ht="12" outlineLevel="1" x14ac:dyDescent="0.2">
      <c r="A32" s="31" t="s">
        <v>75</v>
      </c>
      <c r="B32" s="146" t="s">
        <v>20</v>
      </c>
      <c r="C32" s="244">
        <f>D32/D78</f>
        <v>3.2116131933069982E-2</v>
      </c>
      <c r="D32" s="160">
        <f t="shared" si="0"/>
        <v>800</v>
      </c>
      <c r="E32" s="47">
        <v>9600</v>
      </c>
      <c r="F32" s="105">
        <v>800</v>
      </c>
      <c r="G32" s="72"/>
      <c r="H32" s="72">
        <v>800</v>
      </c>
      <c r="I32" s="72">
        <v>800</v>
      </c>
      <c r="J32" s="72">
        <v>800</v>
      </c>
      <c r="K32" s="225"/>
      <c r="L32" s="225"/>
      <c r="M32" s="225">
        <v>2400</v>
      </c>
      <c r="N32" s="225"/>
      <c r="O32" s="225"/>
      <c r="P32" s="225">
        <v>2400</v>
      </c>
      <c r="Q32" s="225"/>
      <c r="R32" s="72">
        <v>2400</v>
      </c>
      <c r="S32" s="105"/>
      <c r="T32" s="125">
        <f t="shared" si="13"/>
        <v>9600</v>
      </c>
      <c r="U32" s="125">
        <f t="shared" si="1"/>
        <v>0</v>
      </c>
    </row>
    <row r="33" spans="1:21" s="54" customFormat="1" ht="12" outlineLevel="1" x14ac:dyDescent="0.2">
      <c r="A33" s="31" t="s">
        <v>79</v>
      </c>
      <c r="B33" s="146" t="s">
        <v>199</v>
      </c>
      <c r="C33" s="244">
        <f>D33/D78</f>
        <v>1.2043549474901244E-2</v>
      </c>
      <c r="D33" s="160">
        <f t="shared" si="0"/>
        <v>300</v>
      </c>
      <c r="E33" s="47">
        <v>3600</v>
      </c>
      <c r="F33" s="105"/>
      <c r="G33" s="72"/>
      <c r="H33" s="72"/>
      <c r="I33" s="72"/>
      <c r="J33" s="72"/>
      <c r="K33" s="225"/>
      <c r="L33" s="225"/>
      <c r="M33" s="225">
        <v>6600</v>
      </c>
      <c r="N33" s="225"/>
      <c r="O33" s="225"/>
      <c r="P33" s="225"/>
      <c r="Q33" s="225"/>
      <c r="R33" s="72"/>
      <c r="S33" s="105"/>
      <c r="T33" s="125">
        <f t="shared" si="13"/>
        <v>6600</v>
      </c>
      <c r="U33" s="125">
        <f t="shared" si="1"/>
        <v>-3000</v>
      </c>
    </row>
    <row r="34" spans="1:21" s="54" customFormat="1" ht="12" outlineLevel="1" x14ac:dyDescent="0.2">
      <c r="A34" s="31" t="s">
        <v>82</v>
      </c>
      <c r="B34" s="146" t="s">
        <v>101</v>
      </c>
      <c r="C34" s="244">
        <f>D34/D78</f>
        <v>6.6908608193895795E-3</v>
      </c>
      <c r="D34" s="160">
        <f t="shared" si="0"/>
        <v>166.66666666666666</v>
      </c>
      <c r="E34" s="47">
        <v>2000</v>
      </c>
      <c r="F34" s="105"/>
      <c r="G34" s="72"/>
      <c r="H34" s="72"/>
      <c r="I34" s="72"/>
      <c r="J34" s="72"/>
      <c r="K34" s="225"/>
      <c r="L34" s="225">
        <f>1617.25+1800</f>
        <v>3417.25</v>
      </c>
      <c r="M34" s="225"/>
      <c r="N34" s="225"/>
      <c r="O34" s="225"/>
      <c r="P34" s="225"/>
      <c r="Q34" s="225"/>
      <c r="R34" s="72"/>
      <c r="S34" s="105"/>
      <c r="T34" s="125">
        <f t="shared" si="13"/>
        <v>3417.25</v>
      </c>
      <c r="U34" s="125">
        <f t="shared" si="1"/>
        <v>-1417.25</v>
      </c>
    </row>
    <row r="35" spans="1:21" s="54" customFormat="1" ht="12" outlineLevel="1" x14ac:dyDescent="0.2">
      <c r="A35" s="31" t="s">
        <v>103</v>
      </c>
      <c r="B35" s="146" t="s">
        <v>21</v>
      </c>
      <c r="C35" s="244">
        <f>D35/D78</f>
        <v>7.3599469013285373E-2</v>
      </c>
      <c r="D35" s="160">
        <f t="shared" si="0"/>
        <v>1833.3333333333333</v>
      </c>
      <c r="E35" s="47">
        <v>22000</v>
      </c>
      <c r="F35" s="105"/>
      <c r="G35" s="72"/>
      <c r="H35" s="72"/>
      <c r="I35" s="72"/>
      <c r="J35" s="72"/>
      <c r="K35" s="225"/>
      <c r="L35" s="225"/>
      <c r="M35" s="225"/>
      <c r="N35" s="225"/>
      <c r="O35" s="225"/>
      <c r="P35" s="225"/>
      <c r="Q35" s="225"/>
      <c r="R35" s="72"/>
      <c r="S35" s="105"/>
      <c r="T35" s="125">
        <f t="shared" si="13"/>
        <v>0</v>
      </c>
      <c r="U35" s="125">
        <f t="shared" si="1"/>
        <v>22000</v>
      </c>
    </row>
    <row r="36" spans="1:21" s="54" customFormat="1" ht="12" outlineLevel="1" x14ac:dyDescent="0.2">
      <c r="A36" s="31" t="s">
        <v>138</v>
      </c>
      <c r="B36" s="146" t="s">
        <v>188</v>
      </c>
      <c r="C36" s="244">
        <f>D36/D78</f>
        <v>0.26763443277558319</v>
      </c>
      <c r="D36" s="160">
        <f t="shared" si="0"/>
        <v>6666.666666666667</v>
      </c>
      <c r="E36" s="236">
        <v>80000</v>
      </c>
      <c r="F36" s="105"/>
      <c r="G36" s="72"/>
      <c r="H36" s="72"/>
      <c r="I36" s="72"/>
      <c r="J36" s="72"/>
      <c r="K36" s="225"/>
      <c r="L36" s="225"/>
      <c r="M36" s="225"/>
      <c r="N36" s="225"/>
      <c r="O36" s="225"/>
      <c r="P36" s="225"/>
      <c r="Q36" s="225"/>
      <c r="R36" s="72"/>
      <c r="S36" s="105"/>
      <c r="T36" s="125">
        <f t="shared" si="13"/>
        <v>0</v>
      </c>
      <c r="U36" s="125">
        <f t="shared" si="1"/>
        <v>80000</v>
      </c>
    </row>
    <row r="37" spans="1:21" s="54" customFormat="1" ht="12" outlineLevel="1" x14ac:dyDescent="0.2">
      <c r="A37" s="31" t="s">
        <v>139</v>
      </c>
      <c r="B37" s="147" t="s">
        <v>78</v>
      </c>
      <c r="C37" s="245">
        <f>D37/D78</f>
        <v>0.10036291229084369</v>
      </c>
      <c r="D37" s="160">
        <f t="shared" si="0"/>
        <v>2500</v>
      </c>
      <c r="E37" s="47">
        <v>30000</v>
      </c>
      <c r="F37" s="105"/>
      <c r="G37" s="72">
        <v>2244</v>
      </c>
      <c r="H37" s="72">
        <v>2900</v>
      </c>
      <c r="I37" s="72">
        <v>1750</v>
      </c>
      <c r="J37" s="72">
        <v>2000</v>
      </c>
      <c r="K37" s="225">
        <v>3300</v>
      </c>
      <c r="L37" s="225">
        <v>1200</v>
      </c>
      <c r="M37" s="225">
        <f>1800+424</f>
        <v>2224</v>
      </c>
      <c r="N37" s="225">
        <v>1800</v>
      </c>
      <c r="O37" s="225">
        <f>1400+2115</f>
        <v>3515</v>
      </c>
      <c r="P37" s="225">
        <f>19700+502.62</f>
        <v>20202.62</v>
      </c>
      <c r="Q37" s="225">
        <f>1200+865</f>
        <v>2065</v>
      </c>
      <c r="R37" s="72">
        <v>3000</v>
      </c>
      <c r="S37" s="105">
        <v>2700</v>
      </c>
      <c r="T37" s="125">
        <f t="shared" si="13"/>
        <v>48900.619999999995</v>
      </c>
      <c r="U37" s="125">
        <f t="shared" si="1"/>
        <v>-18900.619999999995</v>
      </c>
    </row>
    <row r="38" spans="1:21" s="54" customFormat="1" ht="12" outlineLevel="1" x14ac:dyDescent="0.2">
      <c r="A38" s="31" t="s">
        <v>140</v>
      </c>
      <c r="B38" s="147" t="s">
        <v>204</v>
      </c>
      <c r="C38" s="244">
        <f>D38/D78</f>
        <v>8.029032983267495E-2</v>
      </c>
      <c r="D38" s="248">
        <f t="shared" si="0"/>
        <v>2000</v>
      </c>
      <c r="E38" s="47">
        <v>24000</v>
      </c>
      <c r="F38" s="119"/>
      <c r="G38" s="93"/>
      <c r="H38" s="93">
        <f>1075+4999</f>
        <v>6074</v>
      </c>
      <c r="I38" s="93"/>
      <c r="J38" s="93"/>
      <c r="K38" s="228"/>
      <c r="L38" s="225"/>
      <c r="M38" s="228"/>
      <c r="N38" s="228">
        <v>900</v>
      </c>
      <c r="O38" s="228"/>
      <c r="P38" s="228"/>
      <c r="Q38" s="228"/>
      <c r="R38" s="93">
        <v>1972</v>
      </c>
      <c r="S38" s="119"/>
      <c r="T38" s="125">
        <f t="shared" si="13"/>
        <v>8946</v>
      </c>
      <c r="U38" s="53">
        <f t="shared" si="1"/>
        <v>15054</v>
      </c>
    </row>
    <row r="39" spans="1:21" s="54" customFormat="1" ht="12" outlineLevel="1" x14ac:dyDescent="0.2">
      <c r="A39" s="31" t="s">
        <v>141</v>
      </c>
      <c r="B39" s="146" t="s">
        <v>180</v>
      </c>
      <c r="C39" s="246">
        <f>D39/D78</f>
        <v>3.3454304096947898E-2</v>
      </c>
      <c r="D39" s="160">
        <f t="shared" si="0"/>
        <v>833.33333333333337</v>
      </c>
      <c r="E39" s="47">
        <v>10000</v>
      </c>
      <c r="F39" s="119"/>
      <c r="G39" s="93"/>
      <c r="H39" s="93"/>
      <c r="I39" s="93"/>
      <c r="J39" s="93"/>
      <c r="K39" s="228"/>
      <c r="L39" s="225"/>
      <c r="M39" s="228"/>
      <c r="N39" s="228"/>
      <c r="O39" s="228"/>
      <c r="P39" s="228"/>
      <c r="Q39" s="228"/>
      <c r="R39" s="93"/>
      <c r="S39" s="119"/>
      <c r="T39" s="125">
        <f t="shared" si="13"/>
        <v>0</v>
      </c>
      <c r="U39" s="125">
        <f t="shared" si="1"/>
        <v>10000</v>
      </c>
    </row>
    <row r="40" spans="1:21" s="54" customFormat="1" outlineLevel="1" thickBot="1" x14ac:dyDescent="0.25">
      <c r="A40" s="31" t="s">
        <v>142</v>
      </c>
      <c r="B40" s="144" t="s">
        <v>205</v>
      </c>
      <c r="C40" s="247">
        <f>D40/D78</f>
        <v>8.3635760242369753E-2</v>
      </c>
      <c r="D40" s="164">
        <f t="shared" si="0"/>
        <v>2083.3333333333335</v>
      </c>
      <c r="E40" s="47">
        <v>25000</v>
      </c>
      <c r="F40" s="119"/>
      <c r="G40" s="93"/>
      <c r="H40" s="93"/>
      <c r="I40" s="93"/>
      <c r="J40" s="93"/>
      <c r="K40" s="228"/>
      <c r="L40" s="225">
        <v>25000</v>
      </c>
      <c r="M40" s="228"/>
      <c r="N40" s="228"/>
      <c r="O40" s="228"/>
      <c r="P40" s="228"/>
      <c r="Q40" s="228"/>
      <c r="R40" s="93"/>
      <c r="S40" s="119"/>
      <c r="T40" s="125">
        <f t="shared" si="13"/>
        <v>25000</v>
      </c>
      <c r="U40" s="125">
        <f t="shared" si="1"/>
        <v>0</v>
      </c>
    </row>
    <row r="41" spans="1:21" x14ac:dyDescent="0.2">
      <c r="A41" s="27" t="s">
        <v>112</v>
      </c>
      <c r="B41" s="7" t="s">
        <v>102</v>
      </c>
      <c r="C41" s="37">
        <f>D41/D78</f>
        <v>1.3047178597809681</v>
      </c>
      <c r="D41" s="159">
        <f t="shared" ref="D41:D76" si="15">E41/12</f>
        <v>32500</v>
      </c>
      <c r="E41" s="64">
        <f>SUM(E42:E48)</f>
        <v>390000</v>
      </c>
      <c r="F41" s="70">
        <f t="shared" ref="F41" si="16">SUM(F42:F48)</f>
        <v>0</v>
      </c>
      <c r="G41" s="70">
        <f t="shared" ref="G41:S41" si="17">SUM(G42:G48)</f>
        <v>135</v>
      </c>
      <c r="H41" s="70">
        <f t="shared" si="17"/>
        <v>3266</v>
      </c>
      <c r="I41" s="70">
        <f t="shared" si="17"/>
        <v>150934.97</v>
      </c>
      <c r="J41" s="70">
        <f t="shared" si="17"/>
        <v>132577.68</v>
      </c>
      <c r="K41" s="70">
        <f t="shared" si="17"/>
        <v>17859</v>
      </c>
      <c r="L41" s="70">
        <f t="shared" si="17"/>
        <v>38349.629999999997</v>
      </c>
      <c r="M41" s="70">
        <f t="shared" si="17"/>
        <v>4609.54</v>
      </c>
      <c r="N41" s="70">
        <f t="shared" si="17"/>
        <v>1838.35</v>
      </c>
      <c r="O41" s="70">
        <f t="shared" si="17"/>
        <v>8747</v>
      </c>
      <c r="P41" s="70">
        <f t="shared" si="17"/>
        <v>26653.513084999999</v>
      </c>
      <c r="Q41" s="70">
        <f t="shared" si="17"/>
        <v>9394.8235000000004</v>
      </c>
      <c r="R41" s="70">
        <f t="shared" si="17"/>
        <v>8387.7000000000007</v>
      </c>
      <c r="S41" s="70">
        <f t="shared" si="17"/>
        <v>650</v>
      </c>
      <c r="T41" s="140">
        <f t="shared" si="13"/>
        <v>403403.20658499998</v>
      </c>
      <c r="U41" s="141">
        <f t="shared" si="1"/>
        <v>-13403.206584999978</v>
      </c>
    </row>
    <row r="42" spans="1:21" s="54" customFormat="1" ht="12" outlineLevel="1" x14ac:dyDescent="0.2">
      <c r="A42" s="31" t="s">
        <v>59</v>
      </c>
      <c r="B42" s="43" t="s">
        <v>80</v>
      </c>
      <c r="C42" s="44">
        <f>D42/D78</f>
        <v>0.13381721638779159</v>
      </c>
      <c r="D42" s="160">
        <f t="shared" si="15"/>
        <v>3333.3333333333335</v>
      </c>
      <c r="E42" s="236">
        <v>40000</v>
      </c>
      <c r="F42" s="105"/>
      <c r="G42" s="72">
        <v>60</v>
      </c>
      <c r="H42" s="72"/>
      <c r="I42" s="72"/>
      <c r="J42" s="72"/>
      <c r="K42" s="225"/>
      <c r="L42" s="225">
        <v>79</v>
      </c>
      <c r="M42" s="225">
        <v>2606.04</v>
      </c>
      <c r="N42" s="225">
        <v>235</v>
      </c>
      <c r="O42" s="225">
        <v>692</v>
      </c>
      <c r="P42" s="225">
        <v>11326</v>
      </c>
      <c r="Q42" s="225"/>
      <c r="R42" s="72"/>
      <c r="S42" s="105"/>
      <c r="T42" s="125">
        <f t="shared" si="13"/>
        <v>14998.04</v>
      </c>
      <c r="U42" s="125">
        <f t="shared" si="1"/>
        <v>25001.96</v>
      </c>
    </row>
    <row r="43" spans="1:21" s="54" customFormat="1" ht="12" outlineLevel="1" x14ac:dyDescent="0.2">
      <c r="A43" s="31" t="s">
        <v>60</v>
      </c>
      <c r="B43" s="43" t="s">
        <v>179</v>
      </c>
      <c r="C43" s="44">
        <f>D43/D78</f>
        <v>5.0181456145421847E-2</v>
      </c>
      <c r="D43" s="160">
        <f t="shared" si="15"/>
        <v>1250</v>
      </c>
      <c r="E43" s="47">
        <v>15000</v>
      </c>
      <c r="F43" s="105"/>
      <c r="G43" s="72">
        <v>75</v>
      </c>
      <c r="H43" s="72"/>
      <c r="I43" s="86"/>
      <c r="J43" s="72"/>
      <c r="K43" s="229">
        <v>159</v>
      </c>
      <c r="L43" s="225"/>
      <c r="M43" s="229">
        <v>397</v>
      </c>
      <c r="N43" s="225"/>
      <c r="O43" s="229">
        <v>160</v>
      </c>
      <c r="P43" s="225">
        <v>1479</v>
      </c>
      <c r="Q43" s="229"/>
      <c r="R43" s="72">
        <v>130</v>
      </c>
      <c r="S43" s="105"/>
      <c r="T43" s="125">
        <f t="shared" si="13"/>
        <v>2400</v>
      </c>
      <c r="U43" s="125">
        <f t="shared" si="1"/>
        <v>12600</v>
      </c>
    </row>
    <row r="44" spans="1:21" s="54" customFormat="1" ht="12" outlineLevel="1" x14ac:dyDescent="0.2">
      <c r="A44" s="31" t="s">
        <v>61</v>
      </c>
      <c r="B44" s="43" t="s">
        <v>193</v>
      </c>
      <c r="C44" s="44">
        <f>D44/D78</f>
        <v>0</v>
      </c>
      <c r="D44" s="160">
        <f t="shared" si="15"/>
        <v>0</v>
      </c>
      <c r="E44" s="47">
        <v>0</v>
      </c>
      <c r="F44" s="105"/>
      <c r="G44" s="72"/>
      <c r="H44" s="72"/>
      <c r="I44" s="72">
        <v>130</v>
      </c>
      <c r="J44" s="72"/>
      <c r="K44" s="225"/>
      <c r="L44" s="225">
        <v>500</v>
      </c>
      <c r="M44" s="225"/>
      <c r="N44" s="225"/>
      <c r="O44" s="225"/>
      <c r="P44" s="225"/>
      <c r="Q44" s="225"/>
      <c r="R44" s="72"/>
      <c r="S44" s="105"/>
      <c r="T44" s="125">
        <f t="shared" si="13"/>
        <v>630</v>
      </c>
      <c r="U44" s="125">
        <f t="shared" si="1"/>
        <v>-630</v>
      </c>
    </row>
    <row r="45" spans="1:21" s="54" customFormat="1" ht="12" outlineLevel="1" x14ac:dyDescent="0.2">
      <c r="A45" s="31" t="s">
        <v>62</v>
      </c>
      <c r="B45" s="43" t="s">
        <v>25</v>
      </c>
      <c r="C45" s="44">
        <f>D45/D78</f>
        <v>1.6727152048473949E-2</v>
      </c>
      <c r="D45" s="160">
        <f t="shared" si="15"/>
        <v>416.66666666666669</v>
      </c>
      <c r="E45" s="47">
        <v>5000</v>
      </c>
      <c r="F45" s="105"/>
      <c r="G45" s="72"/>
      <c r="H45" s="72"/>
      <c r="I45" s="72"/>
      <c r="J45" s="72"/>
      <c r="K45" s="225"/>
      <c r="L45" s="225"/>
      <c r="M45" s="225"/>
      <c r="N45" s="225"/>
      <c r="O45" s="225"/>
      <c r="P45" s="225"/>
      <c r="Q45" s="225"/>
      <c r="R45" s="72"/>
      <c r="S45" s="105"/>
      <c r="T45" s="125">
        <f t="shared" si="13"/>
        <v>0</v>
      </c>
      <c r="U45" s="125">
        <f t="shared" si="1"/>
        <v>5000</v>
      </c>
    </row>
    <row r="46" spans="1:21" s="54" customFormat="1" ht="12" outlineLevel="1" x14ac:dyDescent="0.2">
      <c r="A46" s="31" t="s">
        <v>63</v>
      </c>
      <c r="B46" s="67" t="s">
        <v>76</v>
      </c>
      <c r="C46" s="44">
        <f>D46/D78</f>
        <v>1.3381721638779159E-2</v>
      </c>
      <c r="D46" s="160">
        <f t="shared" si="15"/>
        <v>333.33333333333331</v>
      </c>
      <c r="E46" s="47">
        <v>4000</v>
      </c>
      <c r="F46" s="105"/>
      <c r="G46" s="72"/>
      <c r="H46" s="72"/>
      <c r="I46" s="72"/>
      <c r="J46" s="72"/>
      <c r="K46" s="225"/>
      <c r="L46" s="225"/>
      <c r="M46" s="225"/>
      <c r="N46" s="225"/>
      <c r="O46" s="225"/>
      <c r="P46" s="225"/>
      <c r="Q46" s="225"/>
      <c r="R46" s="72"/>
      <c r="S46" s="105"/>
      <c r="T46" s="125">
        <f t="shared" si="13"/>
        <v>0</v>
      </c>
      <c r="U46" s="125">
        <f t="shared" si="1"/>
        <v>4000</v>
      </c>
    </row>
    <row r="47" spans="1:21" s="54" customFormat="1" ht="12" outlineLevel="1" x14ac:dyDescent="0.2">
      <c r="A47" s="31" t="s">
        <v>64</v>
      </c>
      <c r="B47" s="43" t="s">
        <v>182</v>
      </c>
      <c r="C47" s="44">
        <f>D47/D78</f>
        <v>1.0705377311023327</v>
      </c>
      <c r="D47" s="160">
        <f>E47/12</f>
        <v>26666.666666666668</v>
      </c>
      <c r="E47" s="236">
        <v>320000</v>
      </c>
      <c r="F47" s="130"/>
      <c r="G47" s="72"/>
      <c r="H47" s="72">
        <v>3266</v>
      </c>
      <c r="I47" s="72">
        <f>144385.97+6419</f>
        <v>150804.97</v>
      </c>
      <c r="J47" s="72">
        <f>132577.68</f>
        <v>132577.68</v>
      </c>
      <c r="K47" s="225">
        <v>17700</v>
      </c>
      <c r="L47" s="225">
        <f>33025.63+1395</f>
        <v>34420.629999999997</v>
      </c>
      <c r="M47" s="225">
        <v>1606.5</v>
      </c>
      <c r="N47" s="225">
        <v>1603.35</v>
      </c>
      <c r="O47" s="228">
        <v>7895</v>
      </c>
      <c r="P47" s="225">
        <f>13848.513085</f>
        <v>13848.513085000001</v>
      </c>
      <c r="Q47" s="228">
        <f>9394.8235</f>
        <v>9394.8235000000004</v>
      </c>
      <c r="R47" s="72">
        <f>1036.91+3170.79</f>
        <v>4207.7</v>
      </c>
      <c r="S47" s="130">
        <v>650</v>
      </c>
      <c r="T47" s="125">
        <f t="shared" si="13"/>
        <v>377975.166585</v>
      </c>
      <c r="U47" s="125">
        <f t="shared" si="1"/>
        <v>-57975.166584999999</v>
      </c>
    </row>
    <row r="48" spans="1:21" s="54" customFormat="1" outlineLevel="1" thickBot="1" x14ac:dyDescent="0.25">
      <c r="A48" s="149" t="s">
        <v>65</v>
      </c>
      <c r="B48" s="150" t="s">
        <v>183</v>
      </c>
      <c r="C48" s="143">
        <f>D48/D78</f>
        <v>2.0072582458168738E-2</v>
      </c>
      <c r="D48" s="165">
        <f>E48/12</f>
        <v>500</v>
      </c>
      <c r="E48" s="82">
        <v>6000</v>
      </c>
      <c r="F48" s="105"/>
      <c r="G48" s="72"/>
      <c r="H48" s="72"/>
      <c r="I48" s="72"/>
      <c r="J48" s="72"/>
      <c r="K48" s="225"/>
      <c r="L48" s="225">
        <v>3350</v>
      </c>
      <c r="M48" s="225"/>
      <c r="N48" s="225"/>
      <c r="O48" s="225"/>
      <c r="P48" s="225"/>
      <c r="Q48" s="225"/>
      <c r="R48" s="72">
        <v>4050</v>
      </c>
      <c r="S48" s="105"/>
      <c r="T48" s="125">
        <f t="shared" si="13"/>
        <v>7400</v>
      </c>
      <c r="U48" s="125">
        <f t="shared" si="1"/>
        <v>-1400</v>
      </c>
    </row>
    <row r="49" spans="1:21" x14ac:dyDescent="0.2">
      <c r="A49" s="27" t="s">
        <v>113</v>
      </c>
      <c r="B49" s="145" t="s">
        <v>127</v>
      </c>
      <c r="C49" s="151">
        <f>D49/D78</f>
        <v>1.4853711019044866</v>
      </c>
      <c r="D49" s="166">
        <f t="shared" si="15"/>
        <v>37000</v>
      </c>
      <c r="E49" s="171">
        <f t="shared" ref="E49:S49" si="18">SUM(E50:E62)</f>
        <v>444000</v>
      </c>
      <c r="F49" s="106">
        <f t="shared" si="18"/>
        <v>4000</v>
      </c>
      <c r="G49" s="70">
        <f t="shared" si="18"/>
        <v>0</v>
      </c>
      <c r="H49" s="70">
        <f t="shared" si="18"/>
        <v>0</v>
      </c>
      <c r="I49" s="70">
        <f t="shared" si="18"/>
        <v>0</v>
      </c>
      <c r="J49" s="70">
        <f t="shared" si="18"/>
        <v>0</v>
      </c>
      <c r="K49" s="70">
        <f t="shared" si="18"/>
        <v>10500</v>
      </c>
      <c r="L49" s="70">
        <f t="shared" si="18"/>
        <v>3952.59</v>
      </c>
      <c r="M49" s="70">
        <f t="shared" si="18"/>
        <v>147000</v>
      </c>
      <c r="N49" s="70">
        <f t="shared" si="18"/>
        <v>390</v>
      </c>
      <c r="O49" s="70">
        <f t="shared" si="18"/>
        <v>19000</v>
      </c>
      <c r="P49" s="70">
        <f t="shared" si="18"/>
        <v>123583</v>
      </c>
      <c r="Q49" s="70">
        <f t="shared" si="18"/>
        <v>0</v>
      </c>
      <c r="R49" s="70">
        <f t="shared" si="18"/>
        <v>15364</v>
      </c>
      <c r="S49" s="106">
        <f t="shared" si="18"/>
        <v>16500</v>
      </c>
      <c r="T49" s="141">
        <f t="shared" si="13"/>
        <v>336289.58999999997</v>
      </c>
      <c r="U49" s="141">
        <f t="shared" si="1"/>
        <v>107710.41000000003</v>
      </c>
    </row>
    <row r="50" spans="1:21" s="54" customFormat="1" ht="12" outlineLevel="1" x14ac:dyDescent="0.2">
      <c r="A50" s="31" t="s">
        <v>143</v>
      </c>
      <c r="B50" s="146" t="s">
        <v>185</v>
      </c>
      <c r="C50" s="131">
        <f>D50/D78</f>
        <v>0.11709006433931764</v>
      </c>
      <c r="D50" s="164">
        <f t="shared" si="15"/>
        <v>2916.6666666666665</v>
      </c>
      <c r="E50" s="172">
        <v>35000</v>
      </c>
      <c r="F50" s="105"/>
      <c r="G50" s="72"/>
      <c r="H50" s="72"/>
      <c r="I50" s="72"/>
      <c r="J50" s="72"/>
      <c r="K50" s="226"/>
      <c r="L50" s="225"/>
      <c r="M50" s="225"/>
      <c r="N50" s="225"/>
      <c r="O50" s="226"/>
      <c r="P50" s="225"/>
      <c r="Q50" s="225"/>
      <c r="R50" s="72"/>
      <c r="S50" s="105"/>
      <c r="T50" s="125">
        <f t="shared" si="13"/>
        <v>0</v>
      </c>
      <c r="U50" s="125">
        <f t="shared" si="1"/>
        <v>35000</v>
      </c>
    </row>
    <row r="51" spans="1:21" s="54" customFormat="1" ht="12" outlineLevel="1" x14ac:dyDescent="0.2">
      <c r="A51" s="31" t="s">
        <v>144</v>
      </c>
      <c r="B51" s="147" t="s">
        <v>184</v>
      </c>
      <c r="C51" s="131">
        <f>D51/D78</f>
        <v>0.33454304096947901</v>
      </c>
      <c r="D51" s="164">
        <f t="shared" si="15"/>
        <v>8333.3333333333339</v>
      </c>
      <c r="E51" s="177">
        <v>100000</v>
      </c>
      <c r="F51" s="105"/>
      <c r="G51" s="72"/>
      <c r="H51" s="72"/>
      <c r="I51" s="72"/>
      <c r="J51" s="72"/>
      <c r="K51" s="225"/>
      <c r="L51" s="225"/>
      <c r="M51" s="225"/>
      <c r="N51" s="225"/>
      <c r="O51" s="225"/>
      <c r="P51" s="225">
        <v>116575</v>
      </c>
      <c r="Q51" s="225"/>
      <c r="R51" s="72"/>
      <c r="S51" s="105"/>
      <c r="T51" s="125">
        <f t="shared" si="13"/>
        <v>116575</v>
      </c>
      <c r="U51" s="125">
        <f t="shared" si="1"/>
        <v>-16575</v>
      </c>
    </row>
    <row r="52" spans="1:21" s="54" customFormat="1" ht="12" outlineLevel="1" x14ac:dyDescent="0.2">
      <c r="A52" s="31" t="s">
        <v>145</v>
      </c>
      <c r="B52" s="181" t="s">
        <v>206</v>
      </c>
      <c r="C52" s="131">
        <f>D52/D78</f>
        <v>0.36799734506642684</v>
      </c>
      <c r="D52" s="164">
        <f t="shared" si="15"/>
        <v>9166.6666666666661</v>
      </c>
      <c r="E52" s="177">
        <v>110000</v>
      </c>
      <c r="F52" s="105"/>
      <c r="G52" s="72"/>
      <c r="H52" s="72"/>
      <c r="I52" s="72"/>
      <c r="J52" s="72"/>
      <c r="K52" s="225"/>
      <c r="L52" s="225"/>
      <c r="M52" s="225">
        <v>147000</v>
      </c>
      <c r="N52" s="225">
        <v>390</v>
      </c>
      <c r="O52" s="225"/>
      <c r="P52" s="225"/>
      <c r="Q52" s="225"/>
      <c r="R52" s="72"/>
      <c r="S52" s="105"/>
      <c r="T52" s="125">
        <f t="shared" si="13"/>
        <v>147390</v>
      </c>
      <c r="U52" s="125">
        <f t="shared" si="1"/>
        <v>-37390</v>
      </c>
    </row>
    <row r="53" spans="1:21" s="54" customFormat="1" ht="12" outlineLevel="1" x14ac:dyDescent="0.2">
      <c r="A53" s="31" t="s">
        <v>146</v>
      </c>
      <c r="B53" s="146" t="s">
        <v>125</v>
      </c>
      <c r="C53" s="131">
        <f>D53/D78</f>
        <v>6.6908608193895797E-2</v>
      </c>
      <c r="D53" s="164">
        <f t="shared" si="15"/>
        <v>1666.6666666666667</v>
      </c>
      <c r="E53" s="172">
        <v>20000</v>
      </c>
      <c r="F53" s="105"/>
      <c r="G53" s="72"/>
      <c r="H53" s="72"/>
      <c r="I53" s="72"/>
      <c r="J53" s="72"/>
      <c r="K53" s="225"/>
      <c r="L53" s="225"/>
      <c r="M53" s="225"/>
      <c r="N53" s="225"/>
      <c r="O53" s="225"/>
      <c r="P53" s="225"/>
      <c r="Q53" s="225"/>
      <c r="R53" s="72">
        <v>11364</v>
      </c>
      <c r="S53" s="105"/>
      <c r="T53" s="125">
        <f t="shared" si="13"/>
        <v>11364</v>
      </c>
      <c r="U53" s="125">
        <f t="shared" si="1"/>
        <v>8636</v>
      </c>
    </row>
    <row r="54" spans="1:21" s="54" customFormat="1" ht="12" outlineLevel="1" x14ac:dyDescent="0.2">
      <c r="A54" s="31" t="s">
        <v>147</v>
      </c>
      <c r="B54" s="147" t="s">
        <v>186</v>
      </c>
      <c r="C54" s="131">
        <f>D54/D78</f>
        <v>1.6727152048473949E-2</v>
      </c>
      <c r="D54" s="164">
        <f t="shared" si="15"/>
        <v>416.66666666666669</v>
      </c>
      <c r="E54" s="172">
        <v>5000</v>
      </c>
      <c r="F54" s="105"/>
      <c r="G54" s="72"/>
      <c r="H54" s="72"/>
      <c r="I54" s="72"/>
      <c r="J54" s="72"/>
      <c r="K54" s="225"/>
      <c r="L54" s="225"/>
      <c r="M54" s="225"/>
      <c r="N54" s="225"/>
      <c r="O54" s="225"/>
      <c r="P54" s="225"/>
      <c r="Q54" s="225"/>
      <c r="R54" s="72"/>
      <c r="S54" s="105"/>
      <c r="T54" s="125">
        <f t="shared" si="13"/>
        <v>0</v>
      </c>
      <c r="U54" s="125">
        <f t="shared" si="1"/>
        <v>5000</v>
      </c>
    </row>
    <row r="55" spans="1:21" s="54" customFormat="1" ht="12" outlineLevel="1" x14ac:dyDescent="0.2">
      <c r="A55" s="31" t="s">
        <v>148</v>
      </c>
      <c r="B55" s="126" t="s">
        <v>128</v>
      </c>
      <c r="C55" s="131">
        <f>D55/D78</f>
        <v>0.13381721638779159</v>
      </c>
      <c r="D55" s="164">
        <f t="shared" si="15"/>
        <v>3333.3333333333335</v>
      </c>
      <c r="E55" s="177">
        <v>40000</v>
      </c>
      <c r="F55" s="105"/>
      <c r="G55" s="72"/>
      <c r="H55" s="72"/>
      <c r="I55" s="72"/>
      <c r="J55" s="72"/>
      <c r="K55" s="225"/>
      <c r="L55" s="225"/>
      <c r="M55" s="225"/>
      <c r="N55" s="225"/>
      <c r="O55" s="225"/>
      <c r="P55" s="225"/>
      <c r="Q55" s="225"/>
      <c r="R55" s="72"/>
      <c r="S55" s="105"/>
      <c r="T55" s="125">
        <f t="shared" si="13"/>
        <v>0</v>
      </c>
      <c r="U55" s="125">
        <f t="shared" si="1"/>
        <v>40000</v>
      </c>
    </row>
    <row r="56" spans="1:21" s="54" customFormat="1" ht="12" outlineLevel="1" x14ac:dyDescent="0.2">
      <c r="A56" s="31" t="s">
        <v>149</v>
      </c>
      <c r="B56" s="146" t="s">
        <v>74</v>
      </c>
      <c r="C56" s="131">
        <f>D56/D78</f>
        <v>1.3381721638779159E-2</v>
      </c>
      <c r="D56" s="164">
        <f t="shared" si="15"/>
        <v>333.33333333333331</v>
      </c>
      <c r="E56" s="172">
        <v>4000</v>
      </c>
      <c r="F56" s="105">
        <v>4000</v>
      </c>
      <c r="G56" s="72"/>
      <c r="H56" s="72"/>
      <c r="I56" s="72"/>
      <c r="J56" s="72"/>
      <c r="K56" s="225"/>
      <c r="L56" s="225"/>
      <c r="M56" s="225"/>
      <c r="N56" s="225"/>
      <c r="O56" s="225"/>
      <c r="P56" s="225"/>
      <c r="Q56" s="225"/>
      <c r="R56" s="72">
        <v>4000</v>
      </c>
      <c r="S56" s="105"/>
      <c r="T56" s="125">
        <f t="shared" si="13"/>
        <v>4000</v>
      </c>
      <c r="U56" s="125">
        <f t="shared" si="1"/>
        <v>0</v>
      </c>
    </row>
    <row r="57" spans="1:21" s="54" customFormat="1" ht="12" outlineLevel="1" x14ac:dyDescent="0.2">
      <c r="A57" s="31" t="s">
        <v>150</v>
      </c>
      <c r="B57" s="215" t="s">
        <v>192</v>
      </c>
      <c r="C57" s="131">
        <f>D57/D78</f>
        <v>0.23418012867863527</v>
      </c>
      <c r="D57" s="164">
        <f t="shared" si="15"/>
        <v>5833.333333333333</v>
      </c>
      <c r="E57" s="177">
        <v>70000</v>
      </c>
      <c r="F57" s="105"/>
      <c r="G57" s="72"/>
      <c r="H57" s="72"/>
      <c r="I57" s="72"/>
      <c r="J57" s="72"/>
      <c r="K57" s="225">
        <v>10500</v>
      </c>
      <c r="L57" s="225"/>
      <c r="M57" s="225"/>
      <c r="N57" s="225"/>
      <c r="O57" s="225"/>
      <c r="P57" s="225"/>
      <c r="Q57" s="225"/>
      <c r="R57" s="72"/>
      <c r="S57" s="105">
        <v>16500</v>
      </c>
      <c r="T57" s="125">
        <f t="shared" si="13"/>
        <v>27000</v>
      </c>
      <c r="U57" s="125">
        <f t="shared" si="1"/>
        <v>43000</v>
      </c>
    </row>
    <row r="58" spans="1:21" s="54" customFormat="1" ht="12" outlineLevel="1" x14ac:dyDescent="0.2">
      <c r="A58" s="31" t="s">
        <v>151</v>
      </c>
      <c r="B58" s="152" t="s">
        <v>163</v>
      </c>
      <c r="C58" s="131">
        <f>D58/D78</f>
        <v>1.0036291229084369E-2</v>
      </c>
      <c r="D58" s="164">
        <f t="shared" si="15"/>
        <v>250</v>
      </c>
      <c r="E58" s="172">
        <v>3000</v>
      </c>
      <c r="F58" s="105"/>
      <c r="G58" s="72"/>
      <c r="H58" s="72"/>
      <c r="I58" s="72"/>
      <c r="J58" s="72"/>
      <c r="K58" s="225"/>
      <c r="L58" s="225"/>
      <c r="M58" s="225"/>
      <c r="N58" s="226"/>
      <c r="O58" s="225"/>
      <c r="P58" s="225"/>
      <c r="Q58" s="225"/>
      <c r="R58" s="72"/>
      <c r="S58" s="105"/>
      <c r="T58" s="125">
        <f t="shared" si="13"/>
        <v>0</v>
      </c>
      <c r="U58" s="125">
        <f t="shared" si="1"/>
        <v>3000</v>
      </c>
    </row>
    <row r="59" spans="1:21" s="54" customFormat="1" ht="12" outlineLevel="1" x14ac:dyDescent="0.2">
      <c r="A59" s="31" t="s">
        <v>152</v>
      </c>
      <c r="B59" s="146" t="s">
        <v>200</v>
      </c>
      <c r="C59" s="131">
        <f>D59/D78</f>
        <v>8.029032983267495E-2</v>
      </c>
      <c r="D59" s="164">
        <f t="shared" si="15"/>
        <v>2000</v>
      </c>
      <c r="E59" s="172">
        <v>24000</v>
      </c>
      <c r="F59" s="105"/>
      <c r="G59" s="72"/>
      <c r="H59" s="72"/>
      <c r="I59" s="72"/>
      <c r="J59" s="72"/>
      <c r="K59" s="225"/>
      <c r="L59" s="225">
        <v>3952.59</v>
      </c>
      <c r="M59" s="225"/>
      <c r="N59" s="225"/>
      <c r="O59" s="225"/>
      <c r="P59" s="225">
        <v>7008</v>
      </c>
      <c r="Q59" s="225"/>
      <c r="R59" s="72"/>
      <c r="S59" s="105"/>
      <c r="T59" s="125">
        <f t="shared" si="13"/>
        <v>10960.59</v>
      </c>
      <c r="U59" s="125">
        <f t="shared" si="1"/>
        <v>13039.41</v>
      </c>
    </row>
    <row r="60" spans="1:21" s="54" customFormat="1" ht="12" outlineLevel="1" x14ac:dyDescent="0.2">
      <c r="A60" s="31" t="s">
        <v>153</v>
      </c>
      <c r="B60" s="152" t="s">
        <v>187</v>
      </c>
      <c r="C60" s="131">
        <f>D60/D78</f>
        <v>1.0036291229084369E-2</v>
      </c>
      <c r="D60" s="167">
        <f t="shared" ref="D60:D62" si="19">E60/12</f>
        <v>250</v>
      </c>
      <c r="E60" s="173">
        <v>3000</v>
      </c>
      <c r="F60" s="105"/>
      <c r="G60" s="72"/>
      <c r="H60" s="72"/>
      <c r="I60" s="72"/>
      <c r="J60" s="72"/>
      <c r="K60" s="225"/>
      <c r="L60" s="225"/>
      <c r="M60" s="225"/>
      <c r="N60" s="225"/>
      <c r="O60" s="225"/>
      <c r="P60" s="225"/>
      <c r="Q60" s="225"/>
      <c r="R60" s="72"/>
      <c r="S60" s="105"/>
      <c r="T60" s="125">
        <f t="shared" si="13"/>
        <v>0</v>
      </c>
      <c r="U60" s="125">
        <f t="shared" si="1"/>
        <v>3000</v>
      </c>
    </row>
    <row r="61" spans="1:21" s="54" customFormat="1" ht="12" outlineLevel="1" x14ac:dyDescent="0.2">
      <c r="A61" s="31" t="s">
        <v>154</v>
      </c>
      <c r="B61" s="148" t="s">
        <v>201</v>
      </c>
      <c r="C61" s="131">
        <f>D61/D78</f>
        <v>0.10036291229084369</v>
      </c>
      <c r="D61" s="167">
        <f t="shared" si="19"/>
        <v>2500</v>
      </c>
      <c r="E61" s="173">
        <v>30000</v>
      </c>
      <c r="F61" s="119"/>
      <c r="G61" s="93"/>
      <c r="H61" s="90"/>
      <c r="I61" s="72"/>
      <c r="J61" s="93"/>
      <c r="K61" s="228"/>
      <c r="L61" s="228"/>
      <c r="M61" s="228"/>
      <c r="N61" s="228"/>
      <c r="O61" s="228">
        <v>19000</v>
      </c>
      <c r="P61" s="228"/>
      <c r="Q61" s="228"/>
      <c r="R61" s="93"/>
      <c r="S61" s="119"/>
      <c r="T61" s="125">
        <f t="shared" si="13"/>
        <v>19000</v>
      </c>
      <c r="U61" s="125">
        <f t="shared" si="1"/>
        <v>11000</v>
      </c>
    </row>
    <row r="62" spans="1:21" s="54" customFormat="1" outlineLevel="1" thickBot="1" x14ac:dyDescent="0.25">
      <c r="A62" s="31" t="s">
        <v>155</v>
      </c>
      <c r="B62" s="144" t="s">
        <v>24</v>
      </c>
      <c r="C62" s="131">
        <f>D62/D78</f>
        <v>0</v>
      </c>
      <c r="D62" s="168">
        <f t="shared" si="19"/>
        <v>0</v>
      </c>
      <c r="E62" s="174">
        <v>0</v>
      </c>
      <c r="F62" s="105"/>
      <c r="G62" s="72"/>
      <c r="H62" s="117"/>
      <c r="I62" s="72"/>
      <c r="J62" s="72"/>
      <c r="K62" s="225"/>
      <c r="L62" s="225"/>
      <c r="M62" s="225"/>
      <c r="N62" s="225"/>
      <c r="O62" s="225"/>
      <c r="P62" s="225"/>
      <c r="Q62" s="225"/>
      <c r="R62" s="72"/>
      <c r="S62" s="105"/>
      <c r="T62" s="125">
        <f t="shared" si="13"/>
        <v>0</v>
      </c>
      <c r="U62" s="125">
        <f t="shared" si="1"/>
        <v>0</v>
      </c>
    </row>
    <row r="63" spans="1:21" ht="13.5" thickBot="1" x14ac:dyDescent="0.25">
      <c r="A63" s="26">
        <v>13</v>
      </c>
      <c r="B63" s="6" t="s">
        <v>26</v>
      </c>
      <c r="C63" s="36">
        <f>D63/D78</f>
        <v>3.5692397041033712E-2</v>
      </c>
      <c r="D63" s="158">
        <f t="shared" si="15"/>
        <v>889.08333333333337</v>
      </c>
      <c r="E63" s="63">
        <v>10669</v>
      </c>
      <c r="F63" s="211"/>
      <c r="G63" s="88"/>
      <c r="H63" s="88"/>
      <c r="I63" s="88">
        <f>970.9+14950</f>
        <v>15920.9</v>
      </c>
      <c r="J63" s="88">
        <f>3200+150</f>
        <v>3350</v>
      </c>
      <c r="K63" s="222"/>
      <c r="L63" s="222">
        <v>3650</v>
      </c>
      <c r="M63" s="222">
        <v>969.99</v>
      </c>
      <c r="N63" s="222"/>
      <c r="O63" s="222"/>
      <c r="P63" s="249">
        <v>500</v>
      </c>
      <c r="Q63" s="222">
        <v>12000</v>
      </c>
      <c r="R63" s="88">
        <v>296</v>
      </c>
      <c r="S63" s="123"/>
      <c r="T63" s="142">
        <f t="shared" si="13"/>
        <v>36686.89</v>
      </c>
      <c r="U63" s="138">
        <f>E63-T63</f>
        <v>-26017.89</v>
      </c>
    </row>
    <row r="64" spans="1:21" x14ac:dyDescent="0.2">
      <c r="A64" s="186">
        <v>14</v>
      </c>
      <c r="B64" s="187" t="s">
        <v>119</v>
      </c>
      <c r="C64" s="188">
        <f>D64/D78</f>
        <v>-2.9678651336566357</v>
      </c>
      <c r="D64" s="189">
        <f t="shared" si="15"/>
        <v>-73928.333333333328</v>
      </c>
      <c r="E64" s="190">
        <f>SUM(E65:E73)</f>
        <v>-887140</v>
      </c>
      <c r="F64" s="191">
        <f>SUM(F65:F73)</f>
        <v>3500</v>
      </c>
      <c r="G64" s="192">
        <f>SUM(G65:G73)</f>
        <v>60890.01</v>
      </c>
      <c r="H64" s="193">
        <f>SUM(H65:H73)</f>
        <v>13942.73</v>
      </c>
      <c r="I64" s="193">
        <f t="shared" ref="I64:S64" si="20">SUM(I65:I73)</f>
        <v>138445.26999999999</v>
      </c>
      <c r="J64" s="193">
        <f t="shared" si="20"/>
        <v>59827.42</v>
      </c>
      <c r="K64" s="193">
        <f t="shared" si="20"/>
        <v>8971.5899999999983</v>
      </c>
      <c r="L64" s="193">
        <f t="shared" si="20"/>
        <v>133526.92000000001</v>
      </c>
      <c r="M64" s="193">
        <f t="shared" si="20"/>
        <v>73224.14</v>
      </c>
      <c r="N64" s="193">
        <f t="shared" si="20"/>
        <v>132361.98000000001</v>
      </c>
      <c r="O64" s="193">
        <f t="shared" si="20"/>
        <v>20969.740000000002</v>
      </c>
      <c r="P64" s="193">
        <f t="shared" si="20"/>
        <v>66108.62</v>
      </c>
      <c r="Q64" s="193">
        <f t="shared" si="20"/>
        <v>133313.43</v>
      </c>
      <c r="R64" s="193">
        <f t="shared" si="20"/>
        <v>17561.78</v>
      </c>
      <c r="S64" s="193">
        <f t="shared" si="20"/>
        <v>4500</v>
      </c>
      <c r="T64" s="170">
        <f>-SUM(G64:S64)</f>
        <v>-863643.63000000012</v>
      </c>
      <c r="U64" s="170">
        <f>E64-T64</f>
        <v>-23496.369999999879</v>
      </c>
    </row>
    <row r="65" spans="1:21" outlineLevel="1" x14ac:dyDescent="0.2">
      <c r="A65" s="194" t="s">
        <v>165</v>
      </c>
      <c r="B65" s="195" t="s">
        <v>169</v>
      </c>
      <c r="C65" s="196">
        <f>D65/D78</f>
        <v>-1.5765006262645729</v>
      </c>
      <c r="D65" s="197">
        <f t="shared" ref="D65:D73" si="21">E65/12</f>
        <v>-39270</v>
      </c>
      <c r="E65" s="198">
        <v>-471240</v>
      </c>
      <c r="F65" s="199"/>
      <c r="G65" s="199"/>
      <c r="H65" s="200"/>
      <c r="I65" s="201">
        <v>117810</v>
      </c>
      <c r="J65" s="200"/>
      <c r="K65" s="230"/>
      <c r="L65" s="230">
        <v>117810</v>
      </c>
      <c r="M65" s="230"/>
      <c r="N65" s="230">
        <v>117810</v>
      </c>
      <c r="O65" s="230"/>
      <c r="P65" s="230"/>
      <c r="Q65" s="230">
        <v>117810</v>
      </c>
      <c r="R65" s="200"/>
      <c r="S65" s="201"/>
      <c r="T65" s="169">
        <f>SUM(G65:S65)</f>
        <v>471240</v>
      </c>
      <c r="U65" s="169">
        <f>-E65-T65</f>
        <v>0</v>
      </c>
    </row>
    <row r="66" spans="1:21" outlineLevel="1" x14ac:dyDescent="0.2">
      <c r="A66" s="202" t="s">
        <v>166</v>
      </c>
      <c r="B66" s="180" t="s">
        <v>170</v>
      </c>
      <c r="C66" s="203">
        <f>D66/D78</f>
        <v>-0.73064200147734215</v>
      </c>
      <c r="D66" s="204">
        <f t="shared" si="21"/>
        <v>-18200</v>
      </c>
      <c r="E66" s="205">
        <v>-218400</v>
      </c>
      <c r="F66" s="206"/>
      <c r="G66" s="175">
        <v>54600</v>
      </c>
      <c r="H66" s="175"/>
      <c r="I66" s="175"/>
      <c r="J66" s="175">
        <v>54600</v>
      </c>
      <c r="K66" s="231"/>
      <c r="L66" s="231"/>
      <c r="M66" s="231">
        <v>54600</v>
      </c>
      <c r="N66" s="231"/>
      <c r="O66" s="231"/>
      <c r="P66" s="231">
        <v>54600</v>
      </c>
      <c r="Q66" s="231"/>
      <c r="R66" s="175"/>
      <c r="S66" s="176"/>
      <c r="T66" s="154">
        <f>SUM(G66:S66)</f>
        <v>218400</v>
      </c>
      <c r="U66" s="154">
        <f>-E66-T66</f>
        <v>0</v>
      </c>
    </row>
    <row r="67" spans="1:21" outlineLevel="1" x14ac:dyDescent="0.2">
      <c r="A67" s="202" t="s">
        <v>167</v>
      </c>
      <c r="B67" s="180" t="s">
        <v>189</v>
      </c>
      <c r="C67" s="203">
        <f>D67/D78</f>
        <v>-0.1304717859780968</v>
      </c>
      <c r="D67" s="204">
        <f t="shared" si="21"/>
        <v>-3250</v>
      </c>
      <c r="E67" s="205">
        <v>-39000</v>
      </c>
      <c r="F67" s="206"/>
      <c r="G67" s="175">
        <v>3000</v>
      </c>
      <c r="H67" s="175"/>
      <c r="I67" s="175">
        <v>3000</v>
      </c>
      <c r="J67" s="175"/>
      <c r="K67" s="231"/>
      <c r="L67" s="231">
        <v>6000</v>
      </c>
      <c r="M67" s="231"/>
      <c r="N67" s="231">
        <v>9000</v>
      </c>
      <c r="O67" s="231"/>
      <c r="P67" s="231">
        <v>6000</v>
      </c>
      <c r="Q67" s="231">
        <v>3000</v>
      </c>
      <c r="R67" s="175">
        <v>6000</v>
      </c>
      <c r="S67" s="175">
        <v>3000</v>
      </c>
      <c r="T67" s="169">
        <f t="shared" ref="T67:T73" si="22">SUM(G67:S67)</f>
        <v>39000</v>
      </c>
      <c r="U67" s="169">
        <f t="shared" ref="U67:U73" si="23">-E67-T67</f>
        <v>0</v>
      </c>
    </row>
    <row r="68" spans="1:21" outlineLevel="1" x14ac:dyDescent="0.2">
      <c r="A68" s="202" t="s">
        <v>168</v>
      </c>
      <c r="B68" s="180" t="s">
        <v>171</v>
      </c>
      <c r="C68" s="203">
        <f>D68/D78</f>
        <v>-0.12043549474901244</v>
      </c>
      <c r="D68" s="204">
        <f t="shared" si="21"/>
        <v>-3000</v>
      </c>
      <c r="E68" s="205">
        <v>-36000</v>
      </c>
      <c r="F68" s="206"/>
      <c r="G68" s="175"/>
      <c r="H68" s="175"/>
      <c r="I68" s="175">
        <v>9000</v>
      </c>
      <c r="J68" s="175"/>
      <c r="K68" s="231"/>
      <c r="L68" s="231">
        <v>9000</v>
      </c>
      <c r="M68" s="231"/>
      <c r="N68" s="231"/>
      <c r="O68" s="231">
        <v>9000</v>
      </c>
      <c r="P68" s="231"/>
      <c r="Q68" s="231"/>
      <c r="R68" s="175"/>
      <c r="S68" s="175"/>
      <c r="T68" s="154">
        <f t="shared" si="22"/>
        <v>27000</v>
      </c>
      <c r="U68" s="154">
        <f t="shared" si="23"/>
        <v>9000</v>
      </c>
    </row>
    <row r="69" spans="1:21" outlineLevel="1" x14ac:dyDescent="0.2">
      <c r="A69" s="202" t="s">
        <v>173</v>
      </c>
      <c r="B69" s="180" t="s">
        <v>172</v>
      </c>
      <c r="C69" s="203">
        <f>D69/D78</f>
        <v>-6.5235892989048402E-2</v>
      </c>
      <c r="D69" s="204">
        <f t="shared" si="21"/>
        <v>-1625</v>
      </c>
      <c r="E69" s="205">
        <v>-19500</v>
      </c>
      <c r="F69" s="176"/>
      <c r="G69" s="175"/>
      <c r="H69" s="175">
        <v>3000</v>
      </c>
      <c r="I69" s="175">
        <v>1500</v>
      </c>
      <c r="J69" s="175">
        <v>1500</v>
      </c>
      <c r="K69" s="231"/>
      <c r="L69" s="231"/>
      <c r="M69" s="231">
        <v>4500</v>
      </c>
      <c r="N69" s="231"/>
      <c r="O69" s="231">
        <v>3000</v>
      </c>
      <c r="P69" s="231"/>
      <c r="Q69" s="231">
        <v>1500</v>
      </c>
      <c r="R69" s="175">
        <v>3000</v>
      </c>
      <c r="S69" s="175">
        <v>1500</v>
      </c>
      <c r="T69" s="169">
        <f t="shared" si="22"/>
        <v>19500</v>
      </c>
      <c r="U69" s="169">
        <f t="shared" si="23"/>
        <v>0</v>
      </c>
    </row>
    <row r="70" spans="1:21" outlineLevel="1" x14ac:dyDescent="0.2">
      <c r="A70" s="202" t="s">
        <v>174</v>
      </c>
      <c r="B70" s="180" t="s">
        <v>211</v>
      </c>
      <c r="C70" s="203">
        <f>D70/D78</f>
        <v>-4.3490595326032264E-2</v>
      </c>
      <c r="D70" s="204">
        <f t="shared" si="21"/>
        <v>-1083.3333333333333</v>
      </c>
      <c r="E70" s="205">
        <v>-13000</v>
      </c>
      <c r="F70" s="235"/>
      <c r="G70" s="175"/>
      <c r="H70" s="175">
        <v>4000</v>
      </c>
      <c r="I70" s="175"/>
      <c r="J70" s="175"/>
      <c r="K70" s="231"/>
      <c r="L70" s="231"/>
      <c r="M70" s="231">
        <v>3000</v>
      </c>
      <c r="N70" s="231"/>
      <c r="O70" s="231">
        <v>3000</v>
      </c>
      <c r="P70" s="231"/>
      <c r="Q70" s="231"/>
      <c r="R70" s="175">
        <v>3000</v>
      </c>
      <c r="S70" s="175"/>
      <c r="T70" s="154">
        <f t="shared" ref="T70:T71" si="24">SUM(G70:S70)</f>
        <v>13000</v>
      </c>
      <c r="U70" s="154">
        <f t="shared" ref="U70:U71" si="25">-E70-T70</f>
        <v>0</v>
      </c>
    </row>
    <row r="71" spans="1:21" outlineLevel="1" x14ac:dyDescent="0.2">
      <c r="A71" s="202" t="s">
        <v>176</v>
      </c>
      <c r="B71" s="180" t="s">
        <v>203</v>
      </c>
      <c r="C71" s="203">
        <f>D71/D78</f>
        <v>-0.26094357195619361</v>
      </c>
      <c r="D71" s="204">
        <f t="shared" si="21"/>
        <v>-6500</v>
      </c>
      <c r="E71" s="205">
        <v>-78000</v>
      </c>
      <c r="F71" s="235">
        <v>3500</v>
      </c>
      <c r="G71" s="175">
        <v>3000</v>
      </c>
      <c r="H71" s="175">
        <f>3500+3000</f>
        <v>6500</v>
      </c>
      <c r="I71" s="175">
        <f>3500+3000</f>
        <v>6500</v>
      </c>
      <c r="J71" s="175">
        <v>3500</v>
      </c>
      <c r="K71" s="231">
        <f>8548.38</f>
        <v>8548.3799999999992</v>
      </c>
      <c r="L71" s="231"/>
      <c r="M71" s="231">
        <v>11000</v>
      </c>
      <c r="N71" s="231">
        <v>5500</v>
      </c>
      <c r="O71" s="231">
        <v>5500</v>
      </c>
      <c r="P71" s="231">
        <v>5500</v>
      </c>
      <c r="Q71" s="231">
        <v>11000</v>
      </c>
      <c r="R71" s="175">
        <v>5500</v>
      </c>
      <c r="S71" s="175"/>
      <c r="T71" s="169">
        <f t="shared" si="24"/>
        <v>72048.38</v>
      </c>
      <c r="U71" s="169">
        <f t="shared" si="25"/>
        <v>5951.6199999999953</v>
      </c>
    </row>
    <row r="72" spans="1:21" outlineLevel="1" x14ac:dyDescent="0.2">
      <c r="A72" s="202" t="s">
        <v>202</v>
      </c>
      <c r="B72" s="180" t="s">
        <v>177</v>
      </c>
      <c r="C72" s="203">
        <f>D72/D78</f>
        <v>-4.0145164916337475E-2</v>
      </c>
      <c r="D72" s="204">
        <f t="shared" si="21"/>
        <v>-1000</v>
      </c>
      <c r="E72" s="205">
        <v>-12000</v>
      </c>
      <c r="F72" s="206"/>
      <c r="G72" s="175">
        <v>290.01</v>
      </c>
      <c r="H72" s="175">
        <v>442.73</v>
      </c>
      <c r="I72" s="175">
        <v>635.27</v>
      </c>
      <c r="J72" s="175">
        <v>227.42</v>
      </c>
      <c r="K72" s="231">
        <v>423.21</v>
      </c>
      <c r="L72" s="231">
        <v>716.92</v>
      </c>
      <c r="M72" s="231">
        <v>124.14</v>
      </c>
      <c r="N72" s="231">
        <v>51.98</v>
      </c>
      <c r="O72" s="231">
        <v>469.74</v>
      </c>
      <c r="P72" s="231">
        <v>8.6199999999999992</v>
      </c>
      <c r="Q72" s="231">
        <v>3.43</v>
      </c>
      <c r="R72" s="175">
        <v>61.78</v>
      </c>
      <c r="S72" s="175"/>
      <c r="T72" s="154">
        <f t="shared" si="22"/>
        <v>3455.25</v>
      </c>
      <c r="U72" s="154">
        <f t="shared" si="23"/>
        <v>8544.75</v>
      </c>
    </row>
    <row r="73" spans="1:21" ht="13.5" outlineLevel="1" thickBot="1" x14ac:dyDescent="0.25">
      <c r="A73" s="202" t="s">
        <v>210</v>
      </c>
      <c r="B73" s="207" t="s">
        <v>175</v>
      </c>
      <c r="C73" s="208">
        <f>D73/D78</f>
        <v>0</v>
      </c>
      <c r="D73" s="209">
        <f t="shared" si="21"/>
        <v>0</v>
      </c>
      <c r="E73" s="210">
        <v>0</v>
      </c>
      <c r="F73" s="206"/>
      <c r="G73" s="199"/>
      <c r="H73" s="200"/>
      <c r="I73" s="201"/>
      <c r="J73" s="200"/>
      <c r="K73" s="230"/>
      <c r="L73" s="230"/>
      <c r="M73" s="230"/>
      <c r="N73" s="230"/>
      <c r="O73" s="230"/>
      <c r="P73" s="230"/>
      <c r="Q73" s="230"/>
      <c r="R73" s="200"/>
      <c r="S73" s="175"/>
      <c r="T73" s="169">
        <f t="shared" si="22"/>
        <v>0</v>
      </c>
      <c r="U73" s="169">
        <f t="shared" si="23"/>
        <v>0</v>
      </c>
    </row>
    <row r="74" spans="1:21" ht="13.5" thickBot="1" x14ac:dyDescent="0.25">
      <c r="A74" s="155">
        <v>15</v>
      </c>
      <c r="B74" s="156" t="s">
        <v>120</v>
      </c>
      <c r="C74" s="135">
        <f>D74/D78</f>
        <v>8.6981190652064527E-2</v>
      </c>
      <c r="D74" s="157">
        <f t="shared" si="15"/>
        <v>2166.6666666666665</v>
      </c>
      <c r="E74" s="137">
        <v>26000</v>
      </c>
      <c r="F74" s="113"/>
      <c r="G74" s="88"/>
      <c r="H74" s="88"/>
      <c r="I74" s="153"/>
      <c r="J74" s="88">
        <v>1355</v>
      </c>
      <c r="K74" s="222"/>
      <c r="L74" s="222">
        <v>7025</v>
      </c>
      <c r="M74" s="222"/>
      <c r="N74" s="222">
        <v>7000</v>
      </c>
      <c r="O74" s="222"/>
      <c r="P74" s="222"/>
      <c r="Q74" s="222">
        <v>7500</v>
      </c>
      <c r="R74" s="88"/>
      <c r="S74" s="113"/>
      <c r="T74" s="138">
        <f>SUM(G74:S74)</f>
        <v>22880</v>
      </c>
      <c r="U74" s="138">
        <f>E74-T74</f>
        <v>3120</v>
      </c>
    </row>
    <row r="75" spans="1:21" ht="13.5" thickBot="1" x14ac:dyDescent="0.25">
      <c r="A75" s="155">
        <v>16</v>
      </c>
      <c r="B75" s="156" t="s">
        <v>209</v>
      </c>
      <c r="C75" s="213">
        <f>D75/D78</f>
        <v>1.8734410294290822E-3</v>
      </c>
      <c r="D75" s="157">
        <f t="shared" si="15"/>
        <v>46.666666666666664</v>
      </c>
      <c r="E75" s="63">
        <v>560</v>
      </c>
      <c r="F75" s="216"/>
      <c r="G75" s="217"/>
      <c r="H75" s="218"/>
      <c r="I75" s="218"/>
      <c r="J75" s="218"/>
      <c r="K75" s="232"/>
      <c r="L75" s="232"/>
      <c r="M75" s="232"/>
      <c r="N75" s="232"/>
      <c r="O75" s="232"/>
      <c r="P75" s="232"/>
      <c r="Q75" s="232"/>
      <c r="R75" s="218"/>
      <c r="S75" s="219"/>
      <c r="T75" s="220">
        <f>E75</f>
        <v>560</v>
      </c>
      <c r="U75" s="220">
        <f>E75-T75</f>
        <v>0</v>
      </c>
    </row>
    <row r="76" spans="1:21" ht="13.5" thickBot="1" x14ac:dyDescent="0.25">
      <c r="A76" s="256" t="s">
        <v>27</v>
      </c>
      <c r="B76" s="257"/>
      <c r="C76" s="60">
        <f>D76/D78</f>
        <v>13.000145191679783</v>
      </c>
      <c r="D76" s="61">
        <f t="shared" si="15"/>
        <v>323828.41666666669</v>
      </c>
      <c r="E76" s="61">
        <f>E5+E6+E7+E8+E9+E12+E15+E16+E22+E27+E41+E49+E63+E64+E74+E75</f>
        <v>3885941</v>
      </c>
      <c r="F76" s="109">
        <f>F5+F6+F7+F8+F9+F12+F15+F16+F22+F27+F41+F49+F63-F64+F74-F75</f>
        <v>147011.65000000002</v>
      </c>
      <c r="G76" s="109">
        <f>G5+G6+G7+G8+G9+G12+G15+G16+G22+G27+G41+G49+G63-G64+G74-G75</f>
        <v>53384.93</v>
      </c>
      <c r="H76" s="109">
        <f>H5+H6+H7+H8+H9+H12+H15+H16+H22+H27+H41+H49+H63-H64+H74-H75</f>
        <v>283798.79000000004</v>
      </c>
      <c r="I76" s="109">
        <f>I5+I6+I7+I8+I9+I12+I15+I16+I22+I27+I41+I49+I63-I64+J74-I75</f>
        <v>326159.56000000006</v>
      </c>
      <c r="J76" s="109">
        <f>J5+J6+J7+J8+J9+J12+J15+J16+J22+J27+J41+J49+J63-J64+K74-J75</f>
        <v>494743.52999999997</v>
      </c>
      <c r="K76" s="109">
        <f t="shared" ref="K76:S76" si="26">K5+K6+K7+K8+K9+K12+K15+K16+K22+K27+K41+K49+K63-K64+K74-K75</f>
        <v>209776.11999999997</v>
      </c>
      <c r="L76" s="109">
        <f t="shared" si="26"/>
        <v>176183.12000000002</v>
      </c>
      <c r="M76" s="109">
        <f t="shared" si="26"/>
        <v>445688.91629999998</v>
      </c>
      <c r="N76" s="109">
        <f t="shared" si="26"/>
        <v>205189.55000000002</v>
      </c>
      <c r="O76" s="109">
        <f t="shared" si="26"/>
        <v>319366.19000000006</v>
      </c>
      <c r="P76" s="109">
        <f t="shared" si="26"/>
        <v>432228.35308500007</v>
      </c>
      <c r="Q76" s="109">
        <f t="shared" si="26"/>
        <v>202392.8235</v>
      </c>
      <c r="R76" s="109">
        <f t="shared" si="26"/>
        <v>471859.79000000004</v>
      </c>
      <c r="S76" s="109">
        <f t="shared" si="26"/>
        <v>111183.69</v>
      </c>
      <c r="T76" s="139">
        <f>T5+T6+T7+T8+T9+T12+T15+T16+T22+T27+T41+T49+T63+T64+T74+T75</f>
        <v>3732515.3628849993</v>
      </c>
      <c r="U76" s="25">
        <f>U5+U6+U7+U8+U9+U12+U15+U16+U22+U27+U41+U49+U63+U64+U74+U75</f>
        <v>153425.63711500017</v>
      </c>
    </row>
    <row r="77" spans="1:21" s="11" customFormat="1" ht="11.25" x14ac:dyDescent="0.2">
      <c r="E77" s="11">
        <f>D81*D78*12</f>
        <v>3885941</v>
      </c>
      <c r="F77" s="238"/>
      <c r="G77" s="239"/>
      <c r="H77" s="239"/>
      <c r="I77" s="239"/>
      <c r="J77" s="239"/>
      <c r="K77" s="239"/>
      <c r="L77" s="239"/>
      <c r="M77" s="239"/>
      <c r="N77" s="238"/>
      <c r="O77" s="238"/>
      <c r="P77" s="238"/>
      <c r="Q77" s="238"/>
      <c r="R77" s="239"/>
      <c r="S77" s="238"/>
    </row>
    <row r="78" spans="1:21" x14ac:dyDescent="0.2">
      <c r="A78" s="112" t="s">
        <v>28</v>
      </c>
      <c r="B78" s="112"/>
      <c r="C78" s="34"/>
      <c r="D78" s="237">
        <v>24909.599999999999</v>
      </c>
      <c r="E78" s="2" t="s">
        <v>29</v>
      </c>
      <c r="F78" s="240"/>
      <c r="G78" s="241"/>
      <c r="H78" s="241"/>
      <c r="I78" s="241"/>
      <c r="J78" s="241"/>
      <c r="K78" s="234"/>
      <c r="L78" s="234"/>
      <c r="M78" s="234"/>
      <c r="N78" s="234"/>
      <c r="O78" s="234"/>
      <c r="P78" s="234"/>
      <c r="Q78" s="241"/>
      <c r="R78" s="241"/>
      <c r="S78" s="241"/>
      <c r="T78" s="110"/>
    </row>
    <row r="79" spans="1:21" s="11" customFormat="1" ht="11.25" x14ac:dyDescent="0.2">
      <c r="F79" s="238"/>
      <c r="G79" s="242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111">
        <f>SUM(G76:S76)+T75</f>
        <v>3732515.3628849997</v>
      </c>
      <c r="U79" s="111">
        <f>E76-T76</f>
        <v>153425.63711500075</v>
      </c>
    </row>
    <row r="80" spans="1:21" x14ac:dyDescent="0.2">
      <c r="A80" s="250" t="s">
        <v>207</v>
      </c>
      <c r="B80" s="250"/>
      <c r="C80" s="33"/>
      <c r="F80" s="240"/>
      <c r="G80" s="240"/>
      <c r="H80" s="240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</row>
    <row r="81" spans="1:19" x14ac:dyDescent="0.2">
      <c r="A81" s="250" t="s">
        <v>164</v>
      </c>
      <c r="B81" s="250"/>
      <c r="C81" s="33"/>
      <c r="D81" s="35">
        <f>D76/D78</f>
        <v>13.000145191679783</v>
      </c>
      <c r="E81" s="2" t="s">
        <v>31</v>
      </c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</row>
    <row r="82" spans="1:19" x14ac:dyDescent="0.2"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</row>
    <row r="83" spans="1:19" x14ac:dyDescent="0.2">
      <c r="B83" s="178"/>
      <c r="F83" s="241">
        <v>3885940.5</v>
      </c>
      <c r="G83" s="240">
        <f>F83-E76</f>
        <v>-0.5</v>
      </c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</row>
  </sheetData>
  <sheetProtection password="DC7D" sheet="1" objects="1" scenarios="1" selectLockedCells="1" selectUnlockedCells="1"/>
  <mergeCells count="7">
    <mergeCell ref="A80:B80"/>
    <mergeCell ref="A81:B81"/>
    <mergeCell ref="F3:R3"/>
    <mergeCell ref="A1:E1"/>
    <mergeCell ref="A2:E2"/>
    <mergeCell ref="A3:E3"/>
    <mergeCell ref="A76:B76"/>
  </mergeCells>
  <phoneticPr fontId="4" type="noConversion"/>
  <pageMargins left="0.78740157480314965" right="0.19685039370078741" top="0.19685039370078741" bottom="0.19685039370078741" header="0.51181102362204722" footer="0.51181102362204722"/>
  <pageSetup paperSize="9" scale="35" firstPageNumber="0" orientation="portrait" horizontalDpi="300" verticalDpi="300" r:id="rId1"/>
  <headerFooter alignWithMargins="0"/>
  <ignoredErrors>
    <ignoredError sqref="G49:H49 T7 T17:T18 T28:T30 T32 T57 T63 T74 E49 E64:F64" formulaRange="1"/>
    <ignoredError sqref="D76 T76 G12" formula="1"/>
    <ignoredError sqref="A62 A20:A21 A40" twoDigitTextYear="1"/>
    <ignoredError sqref="T64" formula="1" formulaRange="1"/>
    <ignoredError sqref="A49 A41 A27 A22 A15:A16 A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workbookViewId="0">
      <selection activeCell="A2" sqref="A2:E2"/>
    </sheetView>
  </sheetViews>
  <sheetFormatPr defaultRowHeight="12.75" x14ac:dyDescent="0.2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 x14ac:dyDescent="0.2">
      <c r="C1" s="258" t="s">
        <v>162</v>
      </c>
      <c r="D1" s="258"/>
      <c r="E1" s="258"/>
    </row>
    <row r="2" spans="1:5" x14ac:dyDescent="0.2">
      <c r="A2" s="254" t="s">
        <v>0</v>
      </c>
      <c r="B2" s="254"/>
      <c r="C2" s="254"/>
      <c r="D2" s="254"/>
      <c r="E2" s="254"/>
    </row>
    <row r="3" spans="1:5" x14ac:dyDescent="0.2">
      <c r="A3" s="254" t="s">
        <v>116</v>
      </c>
      <c r="B3" s="254"/>
      <c r="C3" s="254"/>
      <c r="D3" s="254"/>
      <c r="E3" s="254"/>
    </row>
    <row r="4" spans="1:5" ht="13.5" thickBot="1" x14ac:dyDescent="0.25">
      <c r="A4" s="255"/>
      <c r="B4" s="255"/>
      <c r="C4" s="255"/>
      <c r="D4" s="255"/>
      <c r="E4" s="255"/>
    </row>
    <row r="5" spans="1:5" ht="39" thickBot="1" x14ac:dyDescent="0.25">
      <c r="A5" s="9" t="s">
        <v>1</v>
      </c>
      <c r="B5" s="10" t="s">
        <v>2</v>
      </c>
      <c r="C5" s="13" t="s">
        <v>161</v>
      </c>
      <c r="D5" s="13" t="s">
        <v>3</v>
      </c>
      <c r="E5" s="20" t="s">
        <v>4</v>
      </c>
    </row>
    <row r="6" spans="1:5" ht="13.5" thickBot="1" x14ac:dyDescent="0.25">
      <c r="A6" s="26">
        <v>1</v>
      </c>
      <c r="B6" s="6" t="s">
        <v>106</v>
      </c>
      <c r="C6" s="36">
        <f>D6/D80</f>
        <v>4.2934603646293468</v>
      </c>
      <c r="D6" s="16">
        <f t="shared" ref="D6:D69" si="0">E6/12</f>
        <v>106915.75</v>
      </c>
      <c r="E6" s="63">
        <v>1282989</v>
      </c>
    </row>
    <row r="7" spans="1:5" ht="13.5" thickBot="1" x14ac:dyDescent="0.25">
      <c r="A7" s="26">
        <v>2</v>
      </c>
      <c r="B7" s="6" t="s">
        <v>117</v>
      </c>
      <c r="C7" s="36">
        <f>D7/D80</f>
        <v>0.6812705806762509</v>
      </c>
      <c r="D7" s="16">
        <f t="shared" si="0"/>
        <v>16965</v>
      </c>
      <c r="E7" s="63">
        <v>203580</v>
      </c>
    </row>
    <row r="8" spans="1:5" ht="13.5" thickBot="1" x14ac:dyDescent="0.25">
      <c r="A8" s="26">
        <v>3</v>
      </c>
      <c r="B8" s="6" t="s">
        <v>118</v>
      </c>
      <c r="C8" s="36">
        <f>D8/D80</f>
        <v>1.7402230075228229</v>
      </c>
      <c r="D8" s="16">
        <f t="shared" si="0"/>
        <v>43335.033333333333</v>
      </c>
      <c r="E8" s="63">
        <v>520020.4</v>
      </c>
    </row>
    <row r="9" spans="1:5" ht="13.5" thickBot="1" x14ac:dyDescent="0.25">
      <c r="A9" s="26">
        <v>4</v>
      </c>
      <c r="B9" s="6" t="s">
        <v>105</v>
      </c>
      <c r="C9" s="36">
        <f>D9/D80</f>
        <v>0.13385805691644581</v>
      </c>
      <c r="D9" s="16">
        <f t="shared" si="0"/>
        <v>3333.3333333333335</v>
      </c>
      <c r="E9" s="63">
        <v>40000</v>
      </c>
    </row>
    <row r="10" spans="1:5" x14ac:dyDescent="0.2">
      <c r="A10" s="129">
        <v>5</v>
      </c>
      <c r="B10" s="7" t="s">
        <v>5</v>
      </c>
      <c r="C10" s="37">
        <f>D10/D80</f>
        <v>3.0118062806200305E-2</v>
      </c>
      <c r="D10" s="17">
        <f t="shared" si="0"/>
        <v>750</v>
      </c>
      <c r="E10" s="64">
        <f>E11+E12</f>
        <v>9000</v>
      </c>
    </row>
    <row r="11" spans="1:5" x14ac:dyDescent="0.2">
      <c r="A11" s="31" t="s">
        <v>45</v>
      </c>
      <c r="B11" s="43" t="s">
        <v>96</v>
      </c>
      <c r="C11" s="44">
        <f>D11/D80</f>
        <v>2.3425159960378018E-2</v>
      </c>
      <c r="D11" s="45">
        <f t="shared" si="0"/>
        <v>583.33333333333337</v>
      </c>
      <c r="E11" s="47">
        <v>7000</v>
      </c>
    </row>
    <row r="12" spans="1:5" ht="13.5" thickBot="1" x14ac:dyDescent="0.25">
      <c r="A12" s="31" t="s">
        <v>46</v>
      </c>
      <c r="B12" s="50" t="s">
        <v>6</v>
      </c>
      <c r="C12" s="51">
        <f>D12/D80</f>
        <v>6.6929028458222895E-3</v>
      </c>
      <c r="D12" s="46">
        <f t="shared" si="0"/>
        <v>166.66666666666666</v>
      </c>
      <c r="E12" s="65">
        <v>2000</v>
      </c>
    </row>
    <row r="13" spans="1:5" x14ac:dyDescent="0.2">
      <c r="A13" s="27" t="s">
        <v>107</v>
      </c>
      <c r="B13" s="7" t="s">
        <v>7</v>
      </c>
      <c r="C13" s="37">
        <f>D13/D80</f>
        <v>0.15393676545391269</v>
      </c>
      <c r="D13" s="17">
        <f t="shared" si="0"/>
        <v>3833.3333333333335</v>
      </c>
      <c r="E13" s="64">
        <f>SUM(E14:E15)</f>
        <v>46000</v>
      </c>
    </row>
    <row r="14" spans="1:5" x14ac:dyDescent="0.2">
      <c r="A14" s="31" t="s">
        <v>131</v>
      </c>
      <c r="B14" s="67" t="s">
        <v>8</v>
      </c>
      <c r="C14" s="44">
        <f>D14/D80</f>
        <v>0.12047225122480122</v>
      </c>
      <c r="D14" s="45">
        <f t="shared" si="0"/>
        <v>3000</v>
      </c>
      <c r="E14" s="47">
        <v>36000</v>
      </c>
    </row>
    <row r="15" spans="1:5" x14ac:dyDescent="0.2">
      <c r="A15" s="31" t="s">
        <v>132</v>
      </c>
      <c r="B15" s="43" t="s">
        <v>9</v>
      </c>
      <c r="C15" s="44">
        <f>D15/D80</f>
        <v>3.3464514229111453E-2</v>
      </c>
      <c r="D15" s="45">
        <f t="shared" si="0"/>
        <v>833.33333333333337</v>
      </c>
      <c r="E15" s="47">
        <f>E16+E17</f>
        <v>10000</v>
      </c>
    </row>
    <row r="16" spans="1:5" x14ac:dyDescent="0.2">
      <c r="A16" s="29" t="s">
        <v>133</v>
      </c>
      <c r="B16" s="3" t="s">
        <v>10</v>
      </c>
      <c r="C16" s="38"/>
      <c r="D16" s="18">
        <f t="shared" si="0"/>
        <v>250</v>
      </c>
      <c r="E16" s="78">
        <v>3000</v>
      </c>
    </row>
    <row r="17" spans="1:5" ht="13.5" thickBot="1" x14ac:dyDescent="0.25">
      <c r="A17" s="30" t="s">
        <v>134</v>
      </c>
      <c r="B17" s="4" t="s">
        <v>71</v>
      </c>
      <c r="C17" s="39"/>
      <c r="D17" s="19">
        <f t="shared" si="0"/>
        <v>583.33333333333337</v>
      </c>
      <c r="E17" s="79">
        <v>7000</v>
      </c>
    </row>
    <row r="18" spans="1:5" ht="13.5" thickBot="1" x14ac:dyDescent="0.25">
      <c r="A18" s="28" t="s">
        <v>108</v>
      </c>
      <c r="B18" s="6" t="s">
        <v>11</v>
      </c>
      <c r="C18" s="36">
        <f>D18/D80</f>
        <v>1.6732257114555726E-2</v>
      </c>
      <c r="D18" s="16">
        <f t="shared" si="0"/>
        <v>416.66666666666669</v>
      </c>
      <c r="E18" s="63">
        <v>5000</v>
      </c>
    </row>
    <row r="19" spans="1:5" x14ac:dyDescent="0.2">
      <c r="A19" s="27" t="s">
        <v>109</v>
      </c>
      <c r="B19" s="7" t="s">
        <v>69</v>
      </c>
      <c r="C19" s="37">
        <f>D19/D80</f>
        <v>0.14356276604288812</v>
      </c>
      <c r="D19" s="17">
        <f t="shared" si="0"/>
        <v>3575</v>
      </c>
      <c r="E19" s="64">
        <f>SUM(E20:E22)</f>
        <v>42900</v>
      </c>
    </row>
    <row r="20" spans="1:5" x14ac:dyDescent="0.2">
      <c r="A20" s="31" t="s">
        <v>47</v>
      </c>
      <c r="B20" s="43" t="s">
        <v>88</v>
      </c>
      <c r="C20" s="44">
        <f>D20/D80</f>
        <v>5.0196771343667172E-2</v>
      </c>
      <c r="D20" s="45">
        <f t="shared" si="0"/>
        <v>1250</v>
      </c>
      <c r="E20" s="47">
        <v>15000</v>
      </c>
    </row>
    <row r="21" spans="1:5" x14ac:dyDescent="0.2">
      <c r="A21" s="31" t="s">
        <v>48</v>
      </c>
      <c r="B21" s="43" t="s">
        <v>72</v>
      </c>
      <c r="C21" s="44">
        <f>D21/D80</f>
        <v>2.007870853746687E-2</v>
      </c>
      <c r="D21" s="45">
        <f t="shared" si="0"/>
        <v>500</v>
      </c>
      <c r="E21" s="47">
        <v>6000</v>
      </c>
    </row>
    <row r="22" spans="1:5" x14ac:dyDescent="0.2">
      <c r="A22" s="31" t="s">
        <v>49</v>
      </c>
      <c r="B22" s="43" t="s">
        <v>68</v>
      </c>
      <c r="C22" s="44">
        <f>D22/D80</f>
        <v>7.3287286161754076E-2</v>
      </c>
      <c r="D22" s="45">
        <f t="shared" si="0"/>
        <v>1825</v>
      </c>
      <c r="E22" s="47">
        <f>SUM(E23:E25)</f>
        <v>21900</v>
      </c>
    </row>
    <row r="23" spans="1:5" x14ac:dyDescent="0.2">
      <c r="A23" s="29" t="s">
        <v>135</v>
      </c>
      <c r="B23" s="3" t="s">
        <v>70</v>
      </c>
      <c r="C23" s="38"/>
      <c r="D23" s="18">
        <f t="shared" si="0"/>
        <v>75</v>
      </c>
      <c r="E23" s="78">
        <v>900</v>
      </c>
    </row>
    <row r="24" spans="1:5" x14ac:dyDescent="0.2">
      <c r="A24" s="29" t="s">
        <v>136</v>
      </c>
      <c r="B24" s="73" t="s">
        <v>94</v>
      </c>
      <c r="C24" s="74"/>
      <c r="D24" s="75">
        <f t="shared" si="0"/>
        <v>500</v>
      </c>
      <c r="E24" s="80">
        <v>6000</v>
      </c>
    </row>
    <row r="25" spans="1:5" ht="13.5" thickBot="1" x14ac:dyDescent="0.25">
      <c r="A25" s="29" t="s">
        <v>137</v>
      </c>
      <c r="B25" s="73" t="s">
        <v>93</v>
      </c>
      <c r="C25" s="74"/>
      <c r="D25" s="75">
        <f t="shared" si="0"/>
        <v>1250</v>
      </c>
      <c r="E25" s="80">
        <v>15000</v>
      </c>
    </row>
    <row r="26" spans="1:5" x14ac:dyDescent="0.2">
      <c r="A26" s="27" t="s">
        <v>110</v>
      </c>
      <c r="B26" s="7" t="s">
        <v>12</v>
      </c>
      <c r="C26" s="37">
        <f>D26/D80</f>
        <v>8.7007736995689769E-2</v>
      </c>
      <c r="D26" s="17">
        <f t="shared" si="0"/>
        <v>2166.6666666666665</v>
      </c>
      <c r="E26" s="64">
        <f>SUM(E27:E31)</f>
        <v>26000</v>
      </c>
    </row>
    <row r="27" spans="1:5" x14ac:dyDescent="0.2">
      <c r="A27" s="31" t="s">
        <v>50</v>
      </c>
      <c r="B27" s="43" t="s">
        <v>13</v>
      </c>
      <c r="C27" s="44">
        <f>D27/D80</f>
        <v>1.6732257114555726E-2</v>
      </c>
      <c r="D27" s="45">
        <f t="shared" si="0"/>
        <v>416.66666666666669</v>
      </c>
      <c r="E27" s="47">
        <v>5000</v>
      </c>
    </row>
    <row r="28" spans="1:5" x14ac:dyDescent="0.2">
      <c r="A28" s="31" t="s">
        <v>51</v>
      </c>
      <c r="B28" s="43" t="s">
        <v>14</v>
      </c>
      <c r="C28" s="44">
        <f>D28/D80</f>
        <v>2.007870853746687E-2</v>
      </c>
      <c r="D28" s="45">
        <f t="shared" si="0"/>
        <v>500</v>
      </c>
      <c r="E28" s="47">
        <v>6000</v>
      </c>
    </row>
    <row r="29" spans="1:5" x14ac:dyDescent="0.2">
      <c r="A29" s="31" t="s">
        <v>52</v>
      </c>
      <c r="B29" s="43" t="s">
        <v>15</v>
      </c>
      <c r="C29" s="44">
        <f>D29/D80</f>
        <v>2.007870853746687E-2</v>
      </c>
      <c r="D29" s="45">
        <f t="shared" si="0"/>
        <v>500</v>
      </c>
      <c r="E29" s="47">
        <v>6000</v>
      </c>
    </row>
    <row r="30" spans="1:5" x14ac:dyDescent="0.2">
      <c r="A30" s="31" t="s">
        <v>53</v>
      </c>
      <c r="B30" s="43" t="s">
        <v>16</v>
      </c>
      <c r="C30" s="44">
        <f>D30/D80</f>
        <v>3.3464514229111448E-3</v>
      </c>
      <c r="D30" s="45">
        <f t="shared" si="0"/>
        <v>83.333333333333329</v>
      </c>
      <c r="E30" s="47">
        <v>1000</v>
      </c>
    </row>
    <row r="31" spans="1:5" ht="13.5" thickBot="1" x14ac:dyDescent="0.25">
      <c r="A31" s="32" t="s">
        <v>54</v>
      </c>
      <c r="B31" s="50" t="s">
        <v>84</v>
      </c>
      <c r="C31" s="51">
        <f>D31/D80</f>
        <v>2.6771611383289158E-2</v>
      </c>
      <c r="D31" s="46">
        <f t="shared" si="0"/>
        <v>666.66666666666663</v>
      </c>
      <c r="E31" s="65">
        <v>8000</v>
      </c>
    </row>
    <row r="32" spans="1:5" ht="25.5" x14ac:dyDescent="0.2">
      <c r="A32" s="27" t="s">
        <v>111</v>
      </c>
      <c r="B32" s="8" t="s">
        <v>17</v>
      </c>
      <c r="C32" s="41">
        <f>D32/D80</f>
        <v>0.95005755896447397</v>
      </c>
      <c r="D32" s="42">
        <f t="shared" si="0"/>
        <v>23658.333333333332</v>
      </c>
      <c r="E32" s="81">
        <f>SUM(E33:E45)</f>
        <v>283900</v>
      </c>
    </row>
    <row r="33" spans="1:5" x14ac:dyDescent="0.2">
      <c r="A33" s="31" t="s">
        <v>56</v>
      </c>
      <c r="B33" s="43" t="s">
        <v>99</v>
      </c>
      <c r="C33" s="44">
        <f>D33/D80</f>
        <v>4.8188900489920486E-2</v>
      </c>
      <c r="D33" s="45">
        <f t="shared" si="0"/>
        <v>1200</v>
      </c>
      <c r="E33" s="47">
        <v>14400</v>
      </c>
    </row>
    <row r="34" spans="1:5" x14ac:dyDescent="0.2">
      <c r="A34" s="31" t="s">
        <v>57</v>
      </c>
      <c r="B34" s="76" t="s">
        <v>55</v>
      </c>
      <c r="C34" s="44">
        <f>D34/D80</f>
        <v>0.16732257114555726</v>
      </c>
      <c r="D34" s="45">
        <f t="shared" si="0"/>
        <v>4166.666666666667</v>
      </c>
      <c r="E34" s="47">
        <v>50000</v>
      </c>
    </row>
    <row r="35" spans="1:5" x14ac:dyDescent="0.2">
      <c r="A35" s="31" t="s">
        <v>58</v>
      </c>
      <c r="B35" s="77" t="s">
        <v>18</v>
      </c>
      <c r="C35" s="44">
        <f>D35/D80</f>
        <v>0.10039354268733434</v>
      </c>
      <c r="D35" s="45">
        <f t="shared" si="0"/>
        <v>2500</v>
      </c>
      <c r="E35" s="47">
        <v>30000</v>
      </c>
    </row>
    <row r="36" spans="1:5" x14ac:dyDescent="0.2">
      <c r="A36" s="31" t="s">
        <v>73</v>
      </c>
      <c r="B36" s="43" t="s">
        <v>19</v>
      </c>
      <c r="C36" s="44">
        <f>D36/D80</f>
        <v>0.10039354268733434</v>
      </c>
      <c r="D36" s="45">
        <f t="shared" si="0"/>
        <v>2500</v>
      </c>
      <c r="E36" s="47">
        <v>30000</v>
      </c>
    </row>
    <row r="37" spans="1:5" x14ac:dyDescent="0.2">
      <c r="A37" s="31" t="s">
        <v>75</v>
      </c>
      <c r="B37" s="43" t="s">
        <v>20</v>
      </c>
      <c r="C37" s="44">
        <f>D37/D80</f>
        <v>2.007870853746687E-2</v>
      </c>
      <c r="D37" s="45">
        <f t="shared" si="0"/>
        <v>500</v>
      </c>
      <c r="E37" s="47">
        <v>6000</v>
      </c>
    </row>
    <row r="38" spans="1:5" x14ac:dyDescent="0.2">
      <c r="A38" s="31" t="s">
        <v>79</v>
      </c>
      <c r="B38" s="43" t="s">
        <v>100</v>
      </c>
      <c r="C38" s="44">
        <f>D38/D83</f>
        <v>22.727269961610727</v>
      </c>
      <c r="D38" s="45">
        <f t="shared" si="0"/>
        <v>250</v>
      </c>
      <c r="E38" s="47">
        <v>3000</v>
      </c>
    </row>
    <row r="39" spans="1:5" x14ac:dyDescent="0.2">
      <c r="A39" s="31" t="s">
        <v>82</v>
      </c>
      <c r="B39" s="43" t="s">
        <v>101</v>
      </c>
      <c r="C39" s="44">
        <f>D39/D83</f>
        <v>22.727269961610727</v>
      </c>
      <c r="D39" s="45">
        <f t="shared" si="0"/>
        <v>250</v>
      </c>
      <c r="E39" s="47">
        <v>3000</v>
      </c>
    </row>
    <row r="40" spans="1:5" x14ac:dyDescent="0.2">
      <c r="A40" s="31" t="s">
        <v>103</v>
      </c>
      <c r="B40" s="43" t="s">
        <v>21</v>
      </c>
      <c r="C40" s="44">
        <f>D40/D80</f>
        <v>4.0157417074933741E-2</v>
      </c>
      <c r="D40" s="45">
        <f t="shared" si="0"/>
        <v>1000</v>
      </c>
      <c r="E40" s="47">
        <v>12000</v>
      </c>
    </row>
    <row r="41" spans="1:5" x14ac:dyDescent="0.2">
      <c r="A41" s="31" t="s">
        <v>138</v>
      </c>
      <c r="B41" s="43" t="s">
        <v>22</v>
      </c>
      <c r="C41" s="44">
        <f>D41/D80</f>
        <v>2.6771611383289158E-2</v>
      </c>
      <c r="D41" s="45">
        <f t="shared" si="0"/>
        <v>666.66666666666663</v>
      </c>
      <c r="E41" s="47">
        <v>8000</v>
      </c>
    </row>
    <row r="42" spans="1:5" x14ac:dyDescent="0.2">
      <c r="A42" s="31" t="s">
        <v>139</v>
      </c>
      <c r="B42" s="43" t="s">
        <v>81</v>
      </c>
      <c r="C42" s="44">
        <f>D42/D80</f>
        <v>0.12047225122480122</v>
      </c>
      <c r="D42" s="45">
        <f t="shared" si="0"/>
        <v>3000</v>
      </c>
      <c r="E42" s="47">
        <v>36000</v>
      </c>
    </row>
    <row r="43" spans="1:5" x14ac:dyDescent="0.2">
      <c r="A43" s="31" t="s">
        <v>140</v>
      </c>
      <c r="B43" s="67" t="s">
        <v>78</v>
      </c>
      <c r="C43" s="44">
        <f>D43/D80</f>
        <v>0.12716515407062351</v>
      </c>
      <c r="D43" s="45">
        <f t="shared" si="0"/>
        <v>3166.6666666666665</v>
      </c>
      <c r="E43" s="47">
        <v>38000</v>
      </c>
    </row>
    <row r="44" spans="1:5" x14ac:dyDescent="0.2">
      <c r="A44" s="31" t="s">
        <v>141</v>
      </c>
      <c r="B44" s="43" t="s">
        <v>23</v>
      </c>
      <c r="C44" s="44">
        <f>D44/D80</f>
        <v>9.5373865552967632E-2</v>
      </c>
      <c r="D44" s="45">
        <f t="shared" si="0"/>
        <v>2375</v>
      </c>
      <c r="E44" s="47">
        <v>28500</v>
      </c>
    </row>
    <row r="45" spans="1:5" ht="13.5" thickBot="1" x14ac:dyDescent="0.25">
      <c r="A45" s="31" t="s">
        <v>142</v>
      </c>
      <c r="B45" s="54" t="s">
        <v>90</v>
      </c>
      <c r="C45" s="132">
        <f>D45/D80</f>
        <v>8.3661285572778632E-2</v>
      </c>
      <c r="D45" s="45">
        <f t="shared" si="0"/>
        <v>2083.3333333333335</v>
      </c>
      <c r="E45" s="47">
        <v>25000</v>
      </c>
    </row>
    <row r="46" spans="1:5" x14ac:dyDescent="0.2">
      <c r="A46" s="27" t="s">
        <v>112</v>
      </c>
      <c r="B46" s="7" t="s">
        <v>102</v>
      </c>
      <c r="C46" s="37">
        <f>D46/D80</f>
        <v>1.5494070088078602</v>
      </c>
      <c r="D46" s="17">
        <f t="shared" si="0"/>
        <v>38583.333333333336</v>
      </c>
      <c r="E46" s="64">
        <f>SUM(E47:E54)</f>
        <v>463000</v>
      </c>
    </row>
    <row r="47" spans="1:5" x14ac:dyDescent="0.2">
      <c r="A47" s="31" t="s">
        <v>59</v>
      </c>
      <c r="B47" s="43" t="s">
        <v>80</v>
      </c>
      <c r="C47" s="44">
        <f>D47/D80</f>
        <v>6.6929028458222906E-2</v>
      </c>
      <c r="D47" s="45">
        <f t="shared" si="0"/>
        <v>1666.6666666666667</v>
      </c>
      <c r="E47" s="47">
        <v>20000</v>
      </c>
    </row>
    <row r="48" spans="1:5" x14ac:dyDescent="0.2">
      <c r="A48" s="31" t="s">
        <v>60</v>
      </c>
      <c r="B48" s="43" t="s">
        <v>87</v>
      </c>
      <c r="C48" s="44">
        <f>D48/D80</f>
        <v>0.20078708537466869</v>
      </c>
      <c r="D48" s="45">
        <f t="shared" si="0"/>
        <v>5000</v>
      </c>
      <c r="E48" s="47">
        <v>60000</v>
      </c>
    </row>
    <row r="49" spans="1:5" x14ac:dyDescent="0.2">
      <c r="A49" s="31" t="s">
        <v>61</v>
      </c>
      <c r="B49" s="43" t="s">
        <v>77</v>
      </c>
      <c r="C49" s="44">
        <f>D49/D80</f>
        <v>0</v>
      </c>
      <c r="D49" s="45">
        <f t="shared" si="0"/>
        <v>0</v>
      </c>
      <c r="E49" s="47">
        <v>0</v>
      </c>
    </row>
    <row r="50" spans="1:5" x14ac:dyDescent="0.2">
      <c r="A50" s="31" t="s">
        <v>62</v>
      </c>
      <c r="B50" s="43" t="s">
        <v>25</v>
      </c>
      <c r="C50" s="44">
        <f>D50/D80</f>
        <v>8.3661285572778632E-2</v>
      </c>
      <c r="D50" s="45">
        <f t="shared" si="0"/>
        <v>2083.3333333333335</v>
      </c>
      <c r="E50" s="47">
        <v>25000</v>
      </c>
    </row>
    <row r="51" spans="1:5" x14ac:dyDescent="0.2">
      <c r="A51" s="31" t="s">
        <v>63</v>
      </c>
      <c r="B51" s="67" t="s">
        <v>76</v>
      </c>
      <c r="C51" s="44">
        <f>D51/D80</f>
        <v>1.6732257114555726E-2</v>
      </c>
      <c r="D51" s="45">
        <f t="shared" si="0"/>
        <v>416.66666666666669</v>
      </c>
      <c r="E51" s="47">
        <v>5000</v>
      </c>
    </row>
    <row r="52" spans="1:5" x14ac:dyDescent="0.2">
      <c r="A52" s="31" t="s">
        <v>64</v>
      </c>
      <c r="B52" s="43" t="s">
        <v>130</v>
      </c>
      <c r="C52" s="44">
        <f>D52/D80</f>
        <v>0.28444837094744729</v>
      </c>
      <c r="D52" s="45">
        <f>E52/12</f>
        <v>7083.333333333333</v>
      </c>
      <c r="E52" s="47">
        <v>85000</v>
      </c>
    </row>
    <row r="53" spans="1:5" x14ac:dyDescent="0.2">
      <c r="A53" s="31" t="s">
        <v>65</v>
      </c>
      <c r="B53" s="43" t="s">
        <v>85</v>
      </c>
      <c r="C53" s="44">
        <f>D53/D80</f>
        <v>2.6771611383289158E-2</v>
      </c>
      <c r="D53" s="45">
        <f>E53/12</f>
        <v>666.66666666666663</v>
      </c>
      <c r="E53" s="47">
        <v>8000</v>
      </c>
    </row>
    <row r="54" spans="1:5" ht="13.5" thickBot="1" x14ac:dyDescent="0.25">
      <c r="A54" s="31" t="s">
        <v>66</v>
      </c>
      <c r="B54" s="43" t="s">
        <v>121</v>
      </c>
      <c r="C54" s="44">
        <f>D54/D80</f>
        <v>0.87007736995689777</v>
      </c>
      <c r="D54" s="45">
        <f>E54/12</f>
        <v>21666.666666666668</v>
      </c>
      <c r="E54" s="47">
        <v>260000</v>
      </c>
    </row>
    <row r="55" spans="1:5" x14ac:dyDescent="0.2">
      <c r="A55" s="27" t="s">
        <v>113</v>
      </c>
      <c r="B55" s="7" t="s">
        <v>127</v>
      </c>
      <c r="C55" s="37">
        <f>D55/D80</f>
        <v>4.6150208818568785</v>
      </c>
      <c r="D55" s="17">
        <f t="shared" si="0"/>
        <v>114923.25</v>
      </c>
      <c r="E55" s="64">
        <f>SUM(E56:E72)</f>
        <v>1379079</v>
      </c>
    </row>
    <row r="56" spans="1:5" x14ac:dyDescent="0.2">
      <c r="A56" s="31" t="s">
        <v>143</v>
      </c>
      <c r="B56" s="43" t="s">
        <v>95</v>
      </c>
      <c r="C56" s="44">
        <f>D56/D80</f>
        <v>8.3661285572778632E-2</v>
      </c>
      <c r="D56" s="45">
        <f t="shared" si="0"/>
        <v>2083.3333333333335</v>
      </c>
      <c r="E56" s="47">
        <v>25000</v>
      </c>
    </row>
    <row r="57" spans="1:5" x14ac:dyDescent="0.2">
      <c r="A57" s="31" t="s">
        <v>144</v>
      </c>
      <c r="B57" s="67" t="s">
        <v>91</v>
      </c>
      <c r="C57" s="44">
        <f>D57/D80</f>
        <v>0.26771611383289162</v>
      </c>
      <c r="D57" s="45">
        <f t="shared" si="0"/>
        <v>6666.666666666667</v>
      </c>
      <c r="E57" s="47">
        <v>80000</v>
      </c>
    </row>
    <row r="58" spans="1:5" x14ac:dyDescent="0.2">
      <c r="A58" s="31" t="s">
        <v>145</v>
      </c>
      <c r="B58" s="43" t="s">
        <v>122</v>
      </c>
      <c r="C58" s="44">
        <f>D58/D80</f>
        <v>0.10039354268733434</v>
      </c>
      <c r="D58" s="45">
        <f t="shared" si="0"/>
        <v>2500</v>
      </c>
      <c r="E58" s="47">
        <v>30000</v>
      </c>
    </row>
    <row r="59" spans="1:5" x14ac:dyDescent="0.2">
      <c r="A59" s="31" t="s">
        <v>146</v>
      </c>
      <c r="B59" s="43" t="s">
        <v>125</v>
      </c>
      <c r="C59" s="44">
        <f>D59/D80</f>
        <v>6.0236125612400611E-2</v>
      </c>
      <c r="D59" s="45">
        <f t="shared" si="0"/>
        <v>1500</v>
      </c>
      <c r="E59" s="47">
        <v>18000</v>
      </c>
    </row>
    <row r="60" spans="1:5" x14ac:dyDescent="0.2">
      <c r="A60" s="31" t="s">
        <v>147</v>
      </c>
      <c r="B60" s="67" t="s">
        <v>123</v>
      </c>
      <c r="C60" s="44">
        <f>D60/D80</f>
        <v>0.53543222766578324</v>
      </c>
      <c r="D60" s="45">
        <f t="shared" si="0"/>
        <v>13333.333333333334</v>
      </c>
      <c r="E60" s="47">
        <v>160000</v>
      </c>
    </row>
    <row r="61" spans="1:5" x14ac:dyDescent="0.2">
      <c r="A61" s="31" t="s">
        <v>148</v>
      </c>
      <c r="B61" s="67" t="s">
        <v>160</v>
      </c>
      <c r="C61" s="44">
        <f>D61/D80</f>
        <v>0.33464514229111453</v>
      </c>
      <c r="D61" s="45">
        <f t="shared" si="0"/>
        <v>8333.3333333333339</v>
      </c>
      <c r="E61" s="47">
        <v>100000</v>
      </c>
    </row>
    <row r="62" spans="1:5" x14ac:dyDescent="0.2">
      <c r="A62" s="31" t="s">
        <v>149</v>
      </c>
      <c r="B62" s="43" t="s">
        <v>74</v>
      </c>
      <c r="C62" s="44">
        <f>D62/D80</f>
        <v>1.3385805691644579E-2</v>
      </c>
      <c r="D62" s="45">
        <f t="shared" si="0"/>
        <v>333.33333333333331</v>
      </c>
      <c r="E62" s="47">
        <v>4000</v>
      </c>
    </row>
    <row r="63" spans="1:5" x14ac:dyDescent="0.2">
      <c r="A63" s="31" t="s">
        <v>150</v>
      </c>
      <c r="B63" s="67" t="s">
        <v>98</v>
      </c>
      <c r="C63" s="44">
        <f>D63/D80</f>
        <v>2.8110191952453619E-2</v>
      </c>
      <c r="D63" s="45">
        <f t="shared" si="0"/>
        <v>700</v>
      </c>
      <c r="E63" s="47">
        <v>8400</v>
      </c>
    </row>
    <row r="64" spans="1:5" x14ac:dyDescent="0.2">
      <c r="A64" s="31" t="s">
        <v>151</v>
      </c>
      <c r="B64" s="43" t="s">
        <v>97</v>
      </c>
      <c r="C64" s="44">
        <f>D64/D80</f>
        <v>0.10708644553315663</v>
      </c>
      <c r="D64" s="45">
        <f t="shared" si="0"/>
        <v>2666.6666666666665</v>
      </c>
      <c r="E64" s="47">
        <v>32000</v>
      </c>
    </row>
    <row r="65" spans="1:5" x14ac:dyDescent="0.2">
      <c r="A65" s="31" t="s">
        <v>152</v>
      </c>
      <c r="B65" s="43" t="s">
        <v>83</v>
      </c>
      <c r="C65" s="44">
        <f>D65/D80</f>
        <v>2.6771611383289158E-2</v>
      </c>
      <c r="D65" s="45">
        <f t="shared" si="0"/>
        <v>666.66666666666663</v>
      </c>
      <c r="E65" s="47">
        <v>8000</v>
      </c>
    </row>
    <row r="66" spans="1:5" x14ac:dyDescent="0.2">
      <c r="A66" s="31" t="s">
        <v>153</v>
      </c>
      <c r="B66" s="48" t="s">
        <v>126</v>
      </c>
      <c r="C66" s="44">
        <f>D66/D80</f>
        <v>8.3661285572778632E-2</v>
      </c>
      <c r="D66" s="49">
        <f t="shared" si="0"/>
        <v>2083.3333333333335</v>
      </c>
      <c r="E66" s="82">
        <v>25000</v>
      </c>
    </row>
    <row r="67" spans="1:5" x14ac:dyDescent="0.2">
      <c r="A67" s="31" t="s">
        <v>154</v>
      </c>
      <c r="B67" s="48" t="s">
        <v>86</v>
      </c>
      <c r="C67" s="44">
        <f>D67/D80</f>
        <v>0.21751934248922444</v>
      </c>
      <c r="D67" s="49">
        <f t="shared" si="0"/>
        <v>5416.666666666667</v>
      </c>
      <c r="E67" s="82">
        <v>65000</v>
      </c>
    </row>
    <row r="68" spans="1:5" x14ac:dyDescent="0.2">
      <c r="A68" s="31" t="s">
        <v>155</v>
      </c>
      <c r="B68" s="76" t="s">
        <v>24</v>
      </c>
      <c r="C68" s="97">
        <f>D68/D80</f>
        <v>2.3425159960378018E-2</v>
      </c>
      <c r="D68" s="98">
        <f t="shared" si="0"/>
        <v>583.33333333333337</v>
      </c>
      <c r="E68" s="99">
        <v>7000</v>
      </c>
    </row>
    <row r="69" spans="1:5" x14ac:dyDescent="0.2">
      <c r="A69" s="31" t="s">
        <v>156</v>
      </c>
      <c r="B69" s="100" t="s">
        <v>124</v>
      </c>
      <c r="C69" s="101">
        <f>D69/D80</f>
        <v>0.93700639841512057</v>
      </c>
      <c r="D69" s="102">
        <f t="shared" si="0"/>
        <v>23333.333333333332</v>
      </c>
      <c r="E69" s="124">
        <v>280000</v>
      </c>
    </row>
    <row r="70" spans="1:5" x14ac:dyDescent="0.2">
      <c r="A70" s="31" t="s">
        <v>157</v>
      </c>
      <c r="B70" s="100" t="s">
        <v>129</v>
      </c>
      <c r="C70" s="101">
        <f>D70/D80</f>
        <v>1.6397611972264612</v>
      </c>
      <c r="D70" s="102">
        <f t="shared" ref="D70:D78" si="1">E70/12</f>
        <v>40833.333333333336</v>
      </c>
      <c r="E70" s="124">
        <v>490000</v>
      </c>
    </row>
    <row r="71" spans="1:5" x14ac:dyDescent="0.2">
      <c r="A71" s="31" t="s">
        <v>158</v>
      </c>
      <c r="B71" s="126" t="s">
        <v>128</v>
      </c>
      <c r="C71" s="131">
        <f>D71/D80</f>
        <v>0.13613029743260247</v>
      </c>
      <c r="D71" s="127">
        <f t="shared" si="1"/>
        <v>3389.9166666666665</v>
      </c>
      <c r="E71" s="124">
        <v>40679</v>
      </c>
    </row>
    <row r="72" spans="1:5" ht="13.5" thickBot="1" x14ac:dyDescent="0.25">
      <c r="A72" s="31" t="s">
        <v>159</v>
      </c>
      <c r="B72" s="67" t="s">
        <v>104</v>
      </c>
      <c r="C72" s="95">
        <f>D72/D80</f>
        <v>2.007870853746687E-2</v>
      </c>
      <c r="D72" s="96">
        <f t="shared" si="1"/>
        <v>500</v>
      </c>
      <c r="E72" s="128">
        <v>6000</v>
      </c>
    </row>
    <row r="73" spans="1:5" ht="13.5" thickBot="1" x14ac:dyDescent="0.25">
      <c r="A73" s="26">
        <v>13</v>
      </c>
      <c r="B73" s="5" t="s">
        <v>92</v>
      </c>
      <c r="C73" s="40">
        <f>D73/D80</f>
        <v>0</v>
      </c>
      <c r="D73" s="16">
        <f t="shared" si="1"/>
        <v>0</v>
      </c>
      <c r="E73" s="63">
        <v>0</v>
      </c>
    </row>
    <row r="74" spans="1:5" ht="13.5" thickBot="1" x14ac:dyDescent="0.25">
      <c r="A74" s="26">
        <v>14</v>
      </c>
      <c r="B74" s="6" t="s">
        <v>26</v>
      </c>
      <c r="C74" s="36">
        <f>D74/D80</f>
        <v>3.3464514229111453E-2</v>
      </c>
      <c r="D74" s="16">
        <f t="shared" si="1"/>
        <v>833.33333333333337</v>
      </c>
      <c r="E74" s="63">
        <v>10000</v>
      </c>
    </row>
    <row r="75" spans="1:5" ht="13.5" thickBot="1" x14ac:dyDescent="0.25">
      <c r="A75" s="57">
        <v>15</v>
      </c>
      <c r="B75" s="58" t="s">
        <v>119</v>
      </c>
      <c r="C75" s="83">
        <f>D75/D80</f>
        <v>1.350293149144647</v>
      </c>
      <c r="D75" s="56">
        <f t="shared" si="1"/>
        <v>33625</v>
      </c>
      <c r="E75" s="59">
        <v>403500</v>
      </c>
    </row>
    <row r="76" spans="1:5" ht="13.5" thickBot="1" x14ac:dyDescent="0.25">
      <c r="A76" s="133">
        <v>16</v>
      </c>
      <c r="B76" s="134" t="s">
        <v>120</v>
      </c>
      <c r="C76" s="135">
        <f>D76/D80</f>
        <v>8.1017588948678818E-2</v>
      </c>
      <c r="D76" s="136">
        <f t="shared" si="1"/>
        <v>2017.5</v>
      </c>
      <c r="E76" s="137">
        <v>24210</v>
      </c>
    </row>
    <row r="77" spans="1:5" ht="13.5" thickBot="1" x14ac:dyDescent="0.25">
      <c r="A77" s="57">
        <v>17</v>
      </c>
      <c r="B77" s="58" t="s">
        <v>114</v>
      </c>
      <c r="C77" s="55">
        <f>D77/D80</f>
        <v>2.1588426632399003</v>
      </c>
      <c r="D77" s="56">
        <f t="shared" si="1"/>
        <v>53759.5</v>
      </c>
      <c r="E77" s="59">
        <v>645114</v>
      </c>
    </row>
    <row r="78" spans="1:5" ht="13.5" thickBot="1" x14ac:dyDescent="0.25">
      <c r="A78" s="256" t="s">
        <v>27</v>
      </c>
      <c r="B78" s="257"/>
      <c r="C78" s="60">
        <f>D78/D80</f>
        <v>11.000001338580571</v>
      </c>
      <c r="D78" s="61">
        <f t="shared" si="1"/>
        <v>273922.03333333338</v>
      </c>
      <c r="E78" s="62">
        <f>E6+E7+E8+E9+E10+E13+E18+E19+E26+E32+E46+E55+E73+E74-E75+E76-E77</f>
        <v>3287064.4000000004</v>
      </c>
    </row>
    <row r="79" spans="1:5" x14ac:dyDescent="0.2">
      <c r="A79" s="11"/>
      <c r="B79" s="11"/>
      <c r="C79" s="11"/>
      <c r="D79" s="11"/>
      <c r="E79" s="11"/>
    </row>
    <row r="80" spans="1:5" x14ac:dyDescent="0.2">
      <c r="A80" s="112" t="s">
        <v>28</v>
      </c>
      <c r="B80" s="112"/>
      <c r="C80" s="34"/>
      <c r="D80" s="1">
        <v>24902</v>
      </c>
      <c r="E80" s="2" t="s">
        <v>29</v>
      </c>
    </row>
    <row r="81" spans="1:5" x14ac:dyDescent="0.2">
      <c r="A81" s="11"/>
      <c r="B81" s="11"/>
      <c r="C81" s="11"/>
      <c r="D81" s="11"/>
      <c r="E81" s="11"/>
    </row>
    <row r="82" spans="1:5" x14ac:dyDescent="0.2">
      <c r="A82" s="250" t="s">
        <v>115</v>
      </c>
      <c r="B82" s="250"/>
      <c r="C82" s="33"/>
    </row>
    <row r="83" spans="1:5" x14ac:dyDescent="0.2">
      <c r="A83" s="250" t="s">
        <v>30</v>
      </c>
      <c r="B83" s="250"/>
      <c r="C83" s="33"/>
      <c r="D83" s="35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ageMargins left="0.78740157480314965" right="0" top="0.19685039370078741" bottom="0.19685039370078741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Смета</vt:lpstr>
      <vt:lpstr>Лист1</vt:lpstr>
      <vt:lpstr>Смета!OLE_LINK3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max</cp:lastModifiedBy>
  <cp:lastPrinted>2020-01-29T12:02:02Z</cp:lastPrinted>
  <dcterms:created xsi:type="dcterms:W3CDTF">2010-12-02T20:37:32Z</dcterms:created>
  <dcterms:modified xsi:type="dcterms:W3CDTF">2021-01-19T15:33:19Z</dcterms:modified>
</cp:coreProperties>
</file>