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0" windowWidth="15480" windowHeight="6990"/>
  </bookViews>
  <sheets>
    <sheet name="Смета" sheetId="1" r:id="rId1"/>
    <sheet name="Лист1" sheetId="7" r:id="rId2"/>
  </sheets>
  <definedNames>
    <definedName name="_xlnm._FilterDatabase" localSheetId="0" hidden="1">Смета!$A$1:$U$74</definedName>
    <definedName name="OLE_LINK3" localSheetId="0">Смета!$K$67</definedName>
    <definedName name="_xlnm.Print_Area" localSheetId="0">Смета!$A$1:$U$83</definedName>
  </definedNames>
  <calcPr calcId="144525" refMode="R1C1"/>
</workbook>
</file>

<file path=xl/calcChain.xml><?xml version="1.0" encoding="utf-8"?>
<calcChain xmlns="http://schemas.openxmlformats.org/spreadsheetml/2006/main">
  <c r="O9" i="1" l="1"/>
  <c r="K12" i="1" l="1"/>
  <c r="O40" i="1" l="1"/>
  <c r="N40" i="1"/>
  <c r="P48" i="1" l="1"/>
  <c r="J57" i="1"/>
  <c r="O45" i="1"/>
  <c r="O29" i="1"/>
  <c r="N26" i="1" l="1"/>
  <c r="P33" i="1" l="1"/>
  <c r="P35" i="1"/>
  <c r="O21" i="1"/>
  <c r="O41" i="1"/>
  <c r="O33" i="1"/>
  <c r="N33" i="1"/>
  <c r="K35" i="1" l="1"/>
  <c r="J21" i="1"/>
  <c r="J33" i="1"/>
  <c r="T19" i="1" l="1"/>
  <c r="G16" i="1" l="1"/>
  <c r="F16" i="1"/>
  <c r="T68" i="1" l="1"/>
  <c r="U68" i="1" s="1"/>
  <c r="T36" i="1" l="1"/>
  <c r="U36" i="1" s="1"/>
  <c r="T69" i="1" l="1"/>
  <c r="U69" i="1" s="1"/>
  <c r="D68" i="1" l="1"/>
  <c r="C68" i="1" s="1"/>
  <c r="D36" i="1" l="1"/>
  <c r="C36" i="1" s="1"/>
  <c r="D69" i="1"/>
  <c r="C69" i="1" s="1"/>
  <c r="P62" i="1" l="1"/>
  <c r="Q62" i="1"/>
  <c r="S62" i="1"/>
  <c r="R62" i="1" l="1"/>
  <c r="N16" i="1" l="1"/>
  <c r="N9" i="1"/>
  <c r="M16" i="1" l="1"/>
  <c r="I12" i="1" l="1"/>
  <c r="G12" i="1" l="1"/>
  <c r="O47" i="1" l="1"/>
  <c r="F47" i="1" l="1"/>
  <c r="F39" i="1"/>
  <c r="F25" i="1"/>
  <c r="F20" i="1"/>
  <c r="F12" i="1"/>
  <c r="F9" i="1"/>
  <c r="T5" i="1" l="1"/>
  <c r="U5" i="1" s="1"/>
  <c r="D7" i="1" l="1"/>
  <c r="T65" i="1" l="1"/>
  <c r="U65" i="1" s="1"/>
  <c r="T66" i="1"/>
  <c r="U66" i="1" s="1"/>
  <c r="T67" i="1"/>
  <c r="U67" i="1" s="1"/>
  <c r="T70" i="1"/>
  <c r="U70" i="1" s="1"/>
  <c r="T71" i="1"/>
  <c r="U71" i="1" s="1"/>
  <c r="T64" i="1"/>
  <c r="U64" i="1" s="1"/>
  <c r="T63" i="1"/>
  <c r="U63" i="1" s="1"/>
  <c r="I62" i="1"/>
  <c r="J62" i="1"/>
  <c r="K62" i="1"/>
  <c r="L62" i="1"/>
  <c r="M62" i="1"/>
  <c r="N62" i="1"/>
  <c r="O62" i="1"/>
  <c r="H62" i="1"/>
  <c r="G62" i="1"/>
  <c r="F62" i="1"/>
  <c r="E12" i="1" l="1"/>
  <c r="D70" i="1"/>
  <c r="C70" i="1" s="1"/>
  <c r="E62" i="1"/>
  <c r="D71" i="1"/>
  <c r="C71" i="1" s="1"/>
  <c r="D66" i="1"/>
  <c r="C66" i="1" s="1"/>
  <c r="D67" i="1"/>
  <c r="C67" i="1" s="1"/>
  <c r="D65" i="1"/>
  <c r="C65" i="1" s="1"/>
  <c r="D64" i="1"/>
  <c r="C64" i="1" s="1"/>
  <c r="D63" i="1"/>
  <c r="C63" i="1" s="1"/>
  <c r="T38" i="1" l="1"/>
  <c r="U38" i="1" s="1"/>
  <c r="E47" i="1"/>
  <c r="E39" i="1" l="1"/>
  <c r="E25" i="1"/>
  <c r="D38" i="1"/>
  <c r="C38" i="1" s="1"/>
  <c r="T62" i="1"/>
  <c r="T73" i="1"/>
  <c r="U73" i="1" s="1"/>
  <c r="D26" i="1" l="1"/>
  <c r="R47" i="1" l="1"/>
  <c r="P39" i="1"/>
  <c r="O16" i="1"/>
  <c r="P16" i="1"/>
  <c r="M47" i="1"/>
  <c r="C7" i="1"/>
  <c r="P25" i="1"/>
  <c r="T57" i="1"/>
  <c r="U57" i="1" s="1"/>
  <c r="T44" i="1"/>
  <c r="U44" i="1" s="1"/>
  <c r="L39" i="1"/>
  <c r="T18" i="1"/>
  <c r="U18" i="1" s="1"/>
  <c r="K39" i="1"/>
  <c r="I9" i="1"/>
  <c r="I25" i="1"/>
  <c r="H25" i="1"/>
  <c r="G9" i="1"/>
  <c r="D77" i="7"/>
  <c r="C77" i="7" s="1"/>
  <c r="D76" i="7"/>
  <c r="C76" i="7" s="1"/>
  <c r="D75" i="7"/>
  <c r="C75" i="7" s="1"/>
  <c r="D74" i="7"/>
  <c r="C74" i="7" s="1"/>
  <c r="D73" i="7"/>
  <c r="C73" i="7" s="1"/>
  <c r="D72" i="7"/>
  <c r="C72" i="7" s="1"/>
  <c r="D71" i="7"/>
  <c r="C71" i="7" s="1"/>
  <c r="D70" i="7"/>
  <c r="C70" i="7" s="1"/>
  <c r="D69" i="7"/>
  <c r="C69" i="7" s="1"/>
  <c r="D68" i="7"/>
  <c r="C68" i="7" s="1"/>
  <c r="D67" i="7"/>
  <c r="C67" i="7" s="1"/>
  <c r="D66" i="7"/>
  <c r="C66" i="7" s="1"/>
  <c r="D65" i="7"/>
  <c r="C65" i="7" s="1"/>
  <c r="D64" i="7"/>
  <c r="C64" i="7" s="1"/>
  <c r="D63" i="7"/>
  <c r="C63" i="7" s="1"/>
  <c r="D62" i="7"/>
  <c r="C62" i="7" s="1"/>
  <c r="D61" i="7"/>
  <c r="C61" i="7" s="1"/>
  <c r="D60" i="7"/>
  <c r="C60" i="7" s="1"/>
  <c r="D59" i="7"/>
  <c r="C59" i="7" s="1"/>
  <c r="D58" i="7"/>
  <c r="C58" i="7" s="1"/>
  <c r="D57" i="7"/>
  <c r="C57" i="7" s="1"/>
  <c r="D56" i="7"/>
  <c r="C56" i="7" s="1"/>
  <c r="E55" i="7"/>
  <c r="D55" i="7" s="1"/>
  <c r="C55" i="7" s="1"/>
  <c r="D54" i="7"/>
  <c r="C54" i="7" s="1"/>
  <c r="D53" i="7"/>
  <c r="C53" i="7" s="1"/>
  <c r="D52" i="7"/>
  <c r="C52" i="7" s="1"/>
  <c r="D51" i="7"/>
  <c r="C51" i="7" s="1"/>
  <c r="D50" i="7"/>
  <c r="C50" i="7" s="1"/>
  <c r="D49" i="7"/>
  <c r="C49" i="7" s="1"/>
  <c r="D48" i="7"/>
  <c r="C48" i="7" s="1"/>
  <c r="D47" i="7"/>
  <c r="C47" i="7" s="1"/>
  <c r="E46" i="7"/>
  <c r="D46" i="7" s="1"/>
  <c r="C46" i="7" s="1"/>
  <c r="D45" i="7"/>
  <c r="C45" i="7" s="1"/>
  <c r="D44" i="7"/>
  <c r="C44" i="7" s="1"/>
  <c r="D43" i="7"/>
  <c r="C43" i="7" s="1"/>
  <c r="D42" i="7"/>
  <c r="C42" i="7" s="1"/>
  <c r="D41" i="7"/>
  <c r="C41" i="7" s="1"/>
  <c r="D40" i="7"/>
  <c r="C40" i="7" s="1"/>
  <c r="D39" i="7"/>
  <c r="D38" i="7"/>
  <c r="D37" i="7"/>
  <c r="C37" i="7" s="1"/>
  <c r="D36" i="7"/>
  <c r="C36" i="7" s="1"/>
  <c r="D35" i="7"/>
  <c r="C35" i="7" s="1"/>
  <c r="D34" i="7"/>
  <c r="C34" i="7" s="1"/>
  <c r="D33" i="7"/>
  <c r="C33" i="7" s="1"/>
  <c r="E32" i="7"/>
  <c r="D32" i="7" s="1"/>
  <c r="C32" i="7" s="1"/>
  <c r="D31" i="7"/>
  <c r="C31" i="7" s="1"/>
  <c r="D30" i="7"/>
  <c r="C30" i="7" s="1"/>
  <c r="D29" i="7"/>
  <c r="C29" i="7" s="1"/>
  <c r="D28" i="7"/>
  <c r="C28" i="7" s="1"/>
  <c r="D27" i="7"/>
  <c r="C27" i="7" s="1"/>
  <c r="E26" i="7"/>
  <c r="D26" i="7" s="1"/>
  <c r="C26" i="7" s="1"/>
  <c r="D25" i="7"/>
  <c r="D24" i="7"/>
  <c r="D23" i="7"/>
  <c r="E22" i="7"/>
  <c r="D22" i="7" s="1"/>
  <c r="C22" i="7" s="1"/>
  <c r="D21" i="7"/>
  <c r="C21" i="7" s="1"/>
  <c r="D20" i="7"/>
  <c r="C20" i="7" s="1"/>
  <c r="D18" i="7"/>
  <c r="C18" i="7" s="1"/>
  <c r="D17" i="7"/>
  <c r="D16" i="7"/>
  <c r="E15" i="7"/>
  <c r="D15" i="7" s="1"/>
  <c r="C15" i="7" s="1"/>
  <c r="D14" i="7"/>
  <c r="C14" i="7" s="1"/>
  <c r="D12" i="7"/>
  <c r="C12" i="7" s="1"/>
  <c r="D11" i="7"/>
  <c r="C11" i="7" s="1"/>
  <c r="E10" i="7"/>
  <c r="D10" i="7" s="1"/>
  <c r="C10" i="7" s="1"/>
  <c r="D9" i="7"/>
  <c r="C9" i="7" s="1"/>
  <c r="D8" i="7"/>
  <c r="C8" i="7" s="1"/>
  <c r="D7" i="7"/>
  <c r="C7" i="7" s="1"/>
  <c r="D6" i="7"/>
  <c r="C6" i="7" s="1"/>
  <c r="T72" i="1"/>
  <c r="U72" i="1" s="1"/>
  <c r="D72" i="1"/>
  <c r="C72" i="1" s="1"/>
  <c r="D6" i="1"/>
  <c r="C6" i="1" s="1"/>
  <c r="S16" i="1"/>
  <c r="D14" i="1"/>
  <c r="C14" i="1" s="1"/>
  <c r="T46" i="1"/>
  <c r="U46" i="1" s="1"/>
  <c r="T26" i="1"/>
  <c r="U26" i="1" s="1"/>
  <c r="D46" i="1"/>
  <c r="C46" i="1" s="1"/>
  <c r="T31" i="1"/>
  <c r="U31" i="1" s="1"/>
  <c r="T32" i="1"/>
  <c r="U32" i="1" s="1"/>
  <c r="D32" i="1"/>
  <c r="C32" i="1" s="1"/>
  <c r="D31" i="1"/>
  <c r="C31" i="1" s="1"/>
  <c r="T21" i="1"/>
  <c r="U21" i="1" s="1"/>
  <c r="T22" i="1"/>
  <c r="U22" i="1" s="1"/>
  <c r="T23" i="1"/>
  <c r="U23" i="1" s="1"/>
  <c r="T24" i="1"/>
  <c r="U24" i="1" s="1"/>
  <c r="T28" i="1"/>
  <c r="U28" i="1" s="1"/>
  <c r="T30" i="1"/>
  <c r="U30" i="1" s="1"/>
  <c r="T33" i="1"/>
  <c r="U33" i="1" s="1"/>
  <c r="T34" i="1"/>
  <c r="U34" i="1" s="1"/>
  <c r="T42" i="1"/>
  <c r="U42" i="1" s="1"/>
  <c r="T43" i="1"/>
  <c r="U43" i="1" s="1"/>
  <c r="T50" i="1"/>
  <c r="U50" i="1" s="1"/>
  <c r="T52" i="1"/>
  <c r="U52" i="1" s="1"/>
  <c r="T53" i="1"/>
  <c r="U53" i="1" s="1"/>
  <c r="T54" i="1"/>
  <c r="U54" i="1" s="1"/>
  <c r="T55" i="1"/>
  <c r="U55" i="1" s="1"/>
  <c r="T56" i="1"/>
  <c r="U56" i="1" s="1"/>
  <c r="T58" i="1"/>
  <c r="U58" i="1" s="1"/>
  <c r="T60" i="1"/>
  <c r="U60" i="1" s="1"/>
  <c r="T15" i="1"/>
  <c r="U15" i="1" s="1"/>
  <c r="R9" i="1"/>
  <c r="R20" i="1"/>
  <c r="Q25" i="1"/>
  <c r="Q9" i="1"/>
  <c r="Q39" i="1"/>
  <c r="L16" i="1"/>
  <c r="M39" i="1"/>
  <c r="L25" i="1"/>
  <c r="T37" i="1"/>
  <c r="U37" i="1" s="1"/>
  <c r="O20" i="1"/>
  <c r="P47" i="1"/>
  <c r="Q20" i="1"/>
  <c r="Q47" i="1"/>
  <c r="R25" i="1"/>
  <c r="O25" i="1"/>
  <c r="T48" i="1"/>
  <c r="U48" i="1" s="1"/>
  <c r="T59" i="1"/>
  <c r="U59" i="1" s="1"/>
  <c r="H39" i="1"/>
  <c r="J25" i="1"/>
  <c r="I39" i="1"/>
  <c r="H9" i="1"/>
  <c r="T13" i="1"/>
  <c r="U13" i="1" s="1"/>
  <c r="S39" i="1"/>
  <c r="G39" i="1"/>
  <c r="S9" i="1"/>
  <c r="J12" i="1"/>
  <c r="L12" i="1"/>
  <c r="M12" i="1"/>
  <c r="N12" i="1"/>
  <c r="O12" i="1"/>
  <c r="P12" i="1"/>
  <c r="Q12" i="1"/>
  <c r="R12" i="1"/>
  <c r="S12" i="1"/>
  <c r="Q16" i="1"/>
  <c r="R16" i="1"/>
  <c r="J20" i="1"/>
  <c r="K20" i="1"/>
  <c r="M20" i="1"/>
  <c r="P20" i="1"/>
  <c r="S20" i="1"/>
  <c r="G20" i="1"/>
  <c r="S25" i="1"/>
  <c r="G25" i="1"/>
  <c r="D25" i="1"/>
  <c r="C25" i="1" s="1"/>
  <c r="D47" i="1"/>
  <c r="C47" i="1" s="1"/>
  <c r="S47" i="1"/>
  <c r="I47" i="1"/>
  <c r="H47" i="1"/>
  <c r="G47" i="1"/>
  <c r="I20" i="1"/>
  <c r="D45" i="1"/>
  <c r="C45" i="1" s="1"/>
  <c r="H12" i="1"/>
  <c r="D59" i="1"/>
  <c r="C59" i="1" s="1"/>
  <c r="E9" i="1"/>
  <c r="D19" i="1"/>
  <c r="C19" i="1" s="1"/>
  <c r="E20" i="1"/>
  <c r="D37" i="1"/>
  <c r="C37" i="1" s="1"/>
  <c r="D62" i="1"/>
  <c r="C62" i="1" s="1"/>
  <c r="D18" i="1"/>
  <c r="C18" i="1" s="1"/>
  <c r="D44" i="1"/>
  <c r="C44" i="1" s="1"/>
  <c r="D43" i="1"/>
  <c r="C43" i="1" s="1"/>
  <c r="D60" i="1"/>
  <c r="C60" i="1" s="1"/>
  <c r="D58" i="1"/>
  <c r="C58" i="1" s="1"/>
  <c r="D35" i="1"/>
  <c r="C35" i="1" s="1"/>
  <c r="D73" i="1"/>
  <c r="C73" i="1" s="1"/>
  <c r="D57" i="1"/>
  <c r="C57" i="1" s="1"/>
  <c r="D56" i="1"/>
  <c r="C56" i="1" s="1"/>
  <c r="D55" i="1"/>
  <c r="C55" i="1" s="1"/>
  <c r="D54" i="1"/>
  <c r="C54" i="1" s="1"/>
  <c r="D53" i="1"/>
  <c r="C53" i="1" s="1"/>
  <c r="D52" i="1"/>
  <c r="C52" i="1" s="1"/>
  <c r="D51" i="1"/>
  <c r="C51" i="1" s="1"/>
  <c r="D50" i="1"/>
  <c r="C50" i="1" s="1"/>
  <c r="D49" i="1"/>
  <c r="C49" i="1" s="1"/>
  <c r="D48" i="1"/>
  <c r="C48" i="1" s="1"/>
  <c r="D42" i="1"/>
  <c r="C42" i="1" s="1"/>
  <c r="D40" i="1"/>
  <c r="C40" i="1" s="1"/>
  <c r="D34" i="1"/>
  <c r="C34" i="1" s="1"/>
  <c r="D33" i="1"/>
  <c r="C33" i="1" s="1"/>
  <c r="D30" i="1"/>
  <c r="C30" i="1" s="1"/>
  <c r="D29" i="1"/>
  <c r="C29" i="1" s="1"/>
  <c r="D28" i="1"/>
  <c r="C28" i="1" s="1"/>
  <c r="D27" i="1"/>
  <c r="C27" i="1" s="1"/>
  <c r="C26" i="1"/>
  <c r="D24" i="1"/>
  <c r="C24" i="1" s="1"/>
  <c r="D23" i="1"/>
  <c r="C23" i="1" s="1"/>
  <c r="D22" i="1"/>
  <c r="C22" i="1" s="1"/>
  <c r="D21" i="1"/>
  <c r="C21" i="1" s="1"/>
  <c r="D5" i="1"/>
  <c r="C5" i="1" s="1"/>
  <c r="D8" i="1"/>
  <c r="C8" i="1" s="1"/>
  <c r="D15" i="1"/>
  <c r="C15" i="1" s="1"/>
  <c r="D17" i="1"/>
  <c r="C17" i="1" s="1"/>
  <c r="D13" i="1"/>
  <c r="C13" i="1" s="1"/>
  <c r="D11" i="1"/>
  <c r="C11" i="1" s="1"/>
  <c r="D10" i="1"/>
  <c r="C10" i="1" s="1"/>
  <c r="D41" i="1"/>
  <c r="C41" i="1" s="1"/>
  <c r="N20" i="1"/>
  <c r="J47" i="1"/>
  <c r="L20" i="1"/>
  <c r="M9" i="1"/>
  <c r="H20" i="1"/>
  <c r="M25" i="1"/>
  <c r="R39" i="1"/>
  <c r="N25" i="1"/>
  <c r="T27" i="1"/>
  <c r="U27" i="1" s="1"/>
  <c r="K47" i="1"/>
  <c r="T40" i="1"/>
  <c r="U40" i="1" s="1"/>
  <c r="T49" i="1"/>
  <c r="U49" i="1" s="1"/>
  <c r="M74" i="1" l="1"/>
  <c r="Q74" i="1"/>
  <c r="S74" i="1"/>
  <c r="R74" i="1"/>
  <c r="E13" i="7"/>
  <c r="D13" i="7" s="1"/>
  <c r="C13" i="7" s="1"/>
  <c r="G74" i="1"/>
  <c r="E19" i="7"/>
  <c r="D19" i="7" s="1"/>
  <c r="C19" i="7" s="1"/>
  <c r="D12" i="1"/>
  <c r="C12" i="1" s="1"/>
  <c r="T20" i="1"/>
  <c r="U20" i="1" s="1"/>
  <c r="U62" i="1"/>
  <c r="T45" i="1"/>
  <c r="U45" i="1" s="1"/>
  <c r="P9" i="1"/>
  <c r="N47" i="1"/>
  <c r="T41" i="1"/>
  <c r="U41" i="1" s="1"/>
  <c r="K16" i="1"/>
  <c r="T14" i="1"/>
  <c r="U14" i="1" s="1"/>
  <c r="T29" i="1"/>
  <c r="U29" i="1" s="1"/>
  <c r="T17" i="1"/>
  <c r="U17" i="1" s="1"/>
  <c r="J39" i="1"/>
  <c r="N39" i="1"/>
  <c r="T6" i="1"/>
  <c r="U6" i="1" s="1"/>
  <c r="O39" i="1"/>
  <c r="I16" i="1"/>
  <c r="I74" i="1" s="1"/>
  <c r="T11" i="1"/>
  <c r="U11" i="1" s="1"/>
  <c r="T12" i="1"/>
  <c r="U12" i="1" s="1"/>
  <c r="E16" i="1"/>
  <c r="D16" i="1" s="1"/>
  <c r="C16" i="1" s="1"/>
  <c r="H16" i="1"/>
  <c r="H74" i="1" s="1"/>
  <c r="J16" i="1"/>
  <c r="T51" i="1"/>
  <c r="U51" i="1" s="1"/>
  <c r="T8" i="1"/>
  <c r="U8" i="1" s="1"/>
  <c r="J9" i="1"/>
  <c r="J74" i="1" s="1"/>
  <c r="T35" i="1"/>
  <c r="U35" i="1" s="1"/>
  <c r="T61" i="1"/>
  <c r="K9" i="1"/>
  <c r="L9" i="1"/>
  <c r="T7" i="1"/>
  <c r="U7" i="1" s="1"/>
  <c r="D20" i="1"/>
  <c r="C20" i="1" s="1"/>
  <c r="F74" i="1"/>
  <c r="L47" i="1"/>
  <c r="T10" i="1"/>
  <c r="U10" i="1" s="1"/>
  <c r="K25" i="1"/>
  <c r="D39" i="1"/>
  <c r="C39" i="1" s="1"/>
  <c r="D9" i="1"/>
  <c r="C9" i="1" s="1"/>
  <c r="N74" i="1" l="1"/>
  <c r="L74" i="1"/>
  <c r="K74" i="1"/>
  <c r="P74" i="1"/>
  <c r="O74" i="1"/>
  <c r="E78" i="7"/>
  <c r="D78" i="7" s="1"/>
  <c r="T39" i="1"/>
  <c r="U39" i="1" s="1"/>
  <c r="T16" i="1"/>
  <c r="U16" i="1" s="1"/>
  <c r="U19" i="1"/>
  <c r="T9" i="1"/>
  <c r="U9" i="1" s="1"/>
  <c r="T25" i="1"/>
  <c r="T47" i="1"/>
  <c r="U47" i="1" s="1"/>
  <c r="D83" i="7" l="1"/>
  <c r="C78" i="7"/>
  <c r="U25" i="1"/>
  <c r="T74" i="1"/>
  <c r="U74" i="1" l="1"/>
  <c r="C39" i="7"/>
  <c r="C38" i="7"/>
  <c r="D61" i="1" l="1"/>
  <c r="C61" i="1" s="1"/>
  <c r="D74" i="1"/>
  <c r="U61" i="1"/>
  <c r="C74" i="1" l="1"/>
  <c r="D79" i="1"/>
</calcChain>
</file>

<file path=xl/comments1.xml><?xml version="1.0" encoding="utf-8"?>
<comments xmlns="http://schemas.openxmlformats.org/spreadsheetml/2006/main">
  <authors>
    <author>User 1</author>
    <author>max</author>
  </authors>
  <commentList>
    <comment ref="K15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2264 по отоплению + 2350 пожарный минимум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1С ИТС годовая
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касперский</t>
        </r>
      </text>
    </comment>
    <comment ref="R19" authorId="1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СБИС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маски медицинские одноразовые</t>
        </r>
      </text>
    </comment>
    <comment ref="N2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1754 подотчет ботинки рабочие</t>
        </r>
      </text>
    </comment>
    <comment ref="O2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520 подотчет маски одноразовые
</t>
        </r>
      </text>
    </comment>
    <comment ref="Q24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Туалетная бумага и бахилы для обходов</t>
        </r>
      </text>
    </comment>
    <comment ref="N2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1200 подотчет</t>
        </r>
      </text>
    </comment>
    <comment ref="O2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повтореный вызов ТЭПТС
</t>
        </r>
      </text>
    </comment>
    <comment ref="Q26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а/м пломбы</t>
        </r>
      </text>
    </comment>
    <comment ref="F28" authorId="1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огнетушители</t>
        </r>
      </text>
    </comment>
    <comment ref="O2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4865,5 подотчет АКБ</t>
        </r>
      </text>
    </comment>
    <comment ref="J31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внеплановый расход - перепрошивка ККМ</t>
        </r>
      </text>
    </comment>
    <comment ref="N31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6000 руб. ТАКСКОМ - оплата за 36 мес.</t>
        </r>
      </text>
    </comment>
    <comment ref="N38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5000 ремонт теплообменника</t>
        </r>
      </text>
    </comment>
    <comment ref="O41" authorId="0">
      <text>
        <r>
          <rPr>
            <sz val="9"/>
            <color indexed="81"/>
            <rFont val="Tahoma"/>
            <family val="2"/>
            <charset val="204"/>
          </rPr>
          <t>760 подотчет
светильники</t>
        </r>
      </text>
    </comment>
    <comment ref="G42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табличка
</t>
        </r>
      </text>
    </comment>
    <comment ref="J43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розы
</t>
        </r>
      </text>
    </comment>
    <comment ref="J46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песок в песочницы</t>
        </r>
      </text>
    </comment>
    <comment ref="Q46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пескосоль</t>
        </r>
      </text>
    </comment>
    <comment ref="K5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латочный ремонт асфальтового покрытия</t>
        </r>
      </text>
    </comment>
    <comment ref="P5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работы по замене люка и установка 2 секций забора</t>
        </r>
      </text>
    </comment>
    <comment ref="I63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1 кв. 2021 г.
</t>
        </r>
      </text>
    </comment>
    <comment ref="J63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2 квартал 2021</t>
        </r>
      </text>
    </comment>
    <comment ref="R63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3 и 4 квартал 2021</t>
        </r>
      </text>
    </comment>
    <comment ref="G6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1 квартал 2021</t>
        </r>
      </text>
    </comment>
    <comment ref="J6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2 кв 2021</t>
        </r>
      </text>
    </comment>
    <comment ref="M6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3 кв. 2021</t>
        </r>
      </text>
    </comment>
    <comment ref="P64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4 кв. 2021</t>
        </r>
      </text>
    </comment>
    <comment ref="F65" authorId="1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за декабрь 2020</t>
        </r>
      </text>
    </comment>
    <comment ref="M65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февраль-июнь 2021
</t>
        </r>
      </text>
    </comment>
    <comment ref="N65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июль 2021
</t>
        </r>
      </text>
    </comment>
    <comment ref="O65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август 2021</t>
        </r>
      </text>
    </comment>
    <comment ref="Q65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сентябрь, октябрь 2021</t>
        </r>
      </text>
    </comment>
    <comment ref="H6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4 кв. 2020 г.</t>
        </r>
      </text>
    </comment>
    <comment ref="I6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1 кв. 2021 г.</t>
        </r>
      </text>
    </comment>
    <comment ref="L6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2 кв. 2021
</t>
        </r>
      </text>
    </comment>
    <comment ref="O6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3 кв. 2021</t>
        </r>
      </text>
    </comment>
    <comment ref="R66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4 кв 2021 г.</t>
        </r>
      </text>
    </comment>
    <comment ref="F67" authorId="1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за декабрь 2020</t>
        </r>
      </text>
    </comment>
    <comment ref="H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январь 2021</t>
        </r>
      </text>
    </comment>
    <comment ref="I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февраль 2021 г.</t>
        </r>
      </text>
    </comment>
    <comment ref="K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март-апрель 2021</t>
        </r>
      </text>
    </comment>
    <comment ref="L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май 2021</t>
        </r>
      </text>
    </comment>
    <comment ref="M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июнь 2021
</t>
        </r>
      </text>
    </comment>
    <comment ref="O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июль 2021
</t>
        </r>
      </text>
    </comment>
    <comment ref="P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август, сентябрь 2021</t>
        </r>
      </text>
    </comment>
    <comment ref="R67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октябрь, ноябрь 2021
</t>
        </r>
      </text>
    </comment>
    <comment ref="J68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январь-май 2021</t>
        </r>
      </text>
    </comment>
    <comment ref="K68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июнь июль 2021</t>
        </r>
      </text>
    </comment>
    <comment ref="O68" authorId="0">
      <text>
        <r>
          <rPr>
            <b/>
            <sz val="9"/>
            <color indexed="81"/>
            <rFont val="Tahoma"/>
            <charset val="1"/>
          </rPr>
          <t>август 2021</t>
        </r>
      </text>
    </comment>
    <comment ref="P68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сентябрь 2021</t>
        </r>
      </text>
    </comment>
    <comment ref="Q68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октябрь, ноябрь, декабрь</t>
        </r>
      </text>
    </comment>
    <comment ref="G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февраль 2021</t>
        </r>
      </text>
    </comment>
    <comment ref="K69" authorId="0">
      <text>
        <r>
          <rPr>
            <b/>
            <sz val="9"/>
            <color indexed="81"/>
            <rFont val="Tahoma"/>
            <charset val="1"/>
          </rPr>
          <t xml:space="preserve">User 1
</t>
        </r>
        <r>
          <rPr>
            <sz val="9"/>
            <color indexed="81"/>
            <rFont val="Tahoma"/>
            <charset val="1"/>
          </rPr>
          <t>за март-апрель 2021</t>
        </r>
      </text>
    </comment>
    <comment ref="L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май 2021</t>
        </r>
      </text>
    </comment>
    <comment ref="M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июнь 2021 </t>
        </r>
      </text>
    </comment>
    <comment ref="N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июль 2021</t>
        </r>
      </text>
    </comment>
    <comment ref="O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август 2021
</t>
        </r>
      </text>
    </comment>
    <comment ref="P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сентябрь 2021</t>
        </r>
      </text>
    </comment>
    <comment ref="Q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октябрь 2021</t>
        </r>
      </text>
    </comment>
    <comment ref="R69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ноябрь, декабрь 2021</t>
        </r>
      </text>
    </comment>
    <comment ref="O71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Мегафон за сентябрь 2021
</t>
        </r>
      </text>
    </comment>
    <comment ref="P71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Мегафон за 4 кв 2021</t>
        </r>
      </text>
    </comment>
    <comment ref="R71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ФрешЭнерго
замена 19 электросчетчиков</t>
        </r>
      </text>
    </comment>
    <comment ref="I72" authorId="0">
      <text>
        <r>
          <rPr>
            <b/>
            <sz val="9"/>
            <color indexed="81"/>
            <rFont val="Tahoma"/>
            <charset val="1"/>
          </rPr>
          <t>User 1:</t>
        </r>
        <r>
          <rPr>
            <sz val="9"/>
            <color indexed="81"/>
            <rFont val="Tahoma"/>
            <charset val="1"/>
          </rPr>
          <t xml:space="preserve">
за 4 кв 2020
</t>
        </r>
      </text>
    </comment>
  </commentList>
</comments>
</file>

<file path=xl/sharedStrings.xml><?xml version="1.0" encoding="utf-8"?>
<sst xmlns="http://schemas.openxmlformats.org/spreadsheetml/2006/main" count="307" uniqueCount="216">
  <si>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</si>
  <si>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</si>
  <si>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</si>
  <si>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</si>
  <si>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</si>
  <si>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</si>
  <si>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</si>
  <si>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</si>
  <si>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</si>
  <si>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</si>
  <si>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</si>
  <si>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</si>
  <si>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</si>
  <si>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</si>
  <si>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</si>
  <si>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</si>
  <si>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</si>
  <si>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</si>
  <si>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</si>
  <si>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</si>
  <si>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</si>
  <si>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</si>
  <si>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</si>
  <si>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</si>
  <si>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</si>
  <si>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</si>
  <si>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</si>
  <si>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</si>
  <si>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</si>
  <si>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</si>
  <si>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</si>
  <si>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</si>
  <si>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</si>
  <si>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</si>
  <si>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</si>
  <si>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</si>
  <si>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</si>
  <si>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</si>
  <si>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</si>
  <si>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</si>
  <si>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</si>
  <si>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</si>
  <si>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</si>
  <si>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</si>
  <si>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</si>
  <si>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</si>
  <si>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</si>
  <si>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</si>
  <si>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</si>
  <si>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</si>
  <si>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</si>
  <si>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</si>
  <si>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</si>
  <si>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</si>
  <si>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</si>
  <si>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</si>
  <si>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</si>
  <si>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</si>
  <si>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</si>
  <si>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</si>
  <si>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</si>
  <si>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</si>
  <si>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</si>
  <si>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</si>
  <si>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</si>
  <si>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</si>
  <si>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</si>
  <si>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</si>
  <si>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</si>
  <si>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</si>
  <si>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</si>
  <si>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</si>
  <si>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</si>
  <si>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</si>
  <si>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</si>
  <si>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</si>
  <si>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</si>
  <si>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</si>
  <si>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</si>
  <si>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</si>
  <si>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</si>
  <si>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</si>
  <si>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</si>
  <si>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</si>
  <si>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</si>
  <si>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</si>
  <si>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</si>
  <si>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</si>
  <si>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</si>
  <si>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</si>
  <si>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</si>
  <si>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</si>
  <si>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</si>
  <si>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</si>
  <si>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</si>
  <si>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</si>
  <si>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</si>
  <si>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</si>
  <si>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</si>
  <si>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</si>
  <si>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</si>
  <si>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</si>
  <si>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</si>
  <si>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</si>
  <si>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</si>
  <si>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</si>
  <si>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</si>
  <si>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</si>
  <si>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</si>
  <si>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</si>
  <si>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</si>
  <si>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</si>
  <si>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</si>
  <si>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</si>
  <si>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</si>
  <si>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</si>
  <si>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</si>
  <si>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</si>
  <si>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</si>
  <si>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</si>
  <si>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</si>
  <si>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</si>
  <si>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</si>
  <si>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</si>
  <si>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</si>
  <si>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</si>
  <si>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</si>
  <si>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</si>
  <si>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</si>
  <si>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</si>
  <si>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</si>
  <si>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</si>
  <si>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</si>
  <si>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</si>
  <si>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</si>
  <si>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</si>
  <si>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</si>
  <si>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</si>
  <si>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</si>
  <si>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</si>
  <si>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</si>
  <si>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</si>
  <si>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</si>
  <si>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</si>
  <si>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</si>
  <si>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</si>
  <si>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</si>
  <si>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</si>
  <si>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</si>
  <si>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</si>
  <si>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</si>
  <si>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</si>
  <si>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</si>
  <si>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</si>
  <si>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</si>
  <si>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</si>
  <si>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</si>
  <si>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</si>
  <si>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</si>
  <si>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</si>
  <si>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</si>
  <si>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</si>
  <si>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</si>
  <si>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электромонтажные работы</t>
  </si>
  <si>
    <t>тариф на содержание и ремонт общего имущества МКД за 1 кв.м общей площади в месяц: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</si>
  <si>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</si>
  <si>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</si>
  <si>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</si>
  <si>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</si>
  <si>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</si>
  <si>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</si>
  <si>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</si>
  <si>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</si>
  <si>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</si>
  <si>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</si>
  <si>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</si>
  <si>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</si>
  <si>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</si>
  <si>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</si>
  <si>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электротехнические материалы</t>
  </si>
  <si>
    <t>откачка нечистот и чистка колодцев водоотведения</t>
  </si>
  <si>
    <t>обслуживание автоматики и циркуляционных насосов ИТП</t>
  </si>
  <si>
    <t>сантехническое оборудование и материалы</t>
  </si>
  <si>
    <t>песок для песочниц, земля для газонов, пастосмесь противогололедная, соль техническая</t>
  </si>
  <si>
    <t>заделка межпанельных швов, окрашивание фасада</t>
  </si>
  <si>
    <t>ремонт кровли, восстановление козырьков</t>
  </si>
  <si>
    <t>очистка внутридворовых проездов от снега спецтехникой</t>
  </si>
  <si>
    <t>усиление ограждения спортивной площадки, сети и др.</t>
  </si>
  <si>
    <t>обслуживание общедомового газового оборудования</t>
  </si>
  <si>
    <t>"ТТК" размещение телекоммуникационного оборудования в подъездах</t>
  </si>
  <si>
    <t>обслуживание ПК и програмного обеспечения, ГИС ЖКХ</t>
  </si>
  <si>
    <t>обслуживание, поверка, ремонт приборов учета, пломбы</t>
  </si>
  <si>
    <t>сантехнические и сварочные работы</t>
  </si>
  <si>
    <t>благоустройство офиса  (мебель, перегородки и др.)</t>
  </si>
  <si>
    <r>
      <rPr>
        <b/>
        <i/>
        <sz val="9"/>
        <rFont val="Arial Cyr"/>
        <charset val="204"/>
      </rPr>
      <t>телефон, интернет</t>
    </r>
    <r>
      <rPr>
        <i/>
        <sz val="9"/>
        <rFont val="Arial Cyr"/>
        <charset val="204"/>
      </rPr>
      <t>, передача отчетности по ИТС</t>
    </r>
  </si>
  <si>
    <t>слесарь-сантехник, энергетик (перчатки, СМС, инструменты и т.д.)</t>
  </si>
  <si>
    <t>обслуживание онлайн-кассы</t>
  </si>
  <si>
    <t>дорожные работы (асфальтирование, наем спецтехники)</t>
  </si>
  <si>
    <t>14.8</t>
  </si>
  <si>
    <t>Размещение автоматов по продаже чистой воды</t>
  </si>
  <si>
    <t>обслуживание системы дворового и офисного видеонаблюдения</t>
  </si>
  <si>
    <t>промывка теплообменников ГВС (разборка-сборка, хим чистка)</t>
  </si>
  <si>
    <t>14.9</t>
  </si>
  <si>
    <t>"Эр Телеком Холдинг" размещение телекоммуникационного оборудования на кровле</t>
  </si>
  <si>
    <t>дезинсекция и дератизация подвалов, обработка от клещей, дезинфекция</t>
  </si>
  <si>
    <t>техническому содержанию и ремонту общего имущества многоквартирного дома на 2021 год</t>
  </si>
  <si>
    <t>На основании сметы расходов на 2021 г. Правление ТСЖ предлагает утвердить</t>
  </si>
  <si>
    <t>приобретение и обновления програмного обеспечения, оргтехники, комплектующих</t>
  </si>
  <si>
    <t>другие расходы на хознужды (с описанием)</t>
  </si>
  <si>
    <r>
      <t xml:space="preserve">обслуживание охранной и </t>
    </r>
    <r>
      <rPr>
        <sz val="9"/>
        <rFont val="Arial Cyr"/>
        <charset val="204"/>
      </rPr>
      <t>пожарной сигнализации, закупка (зарядка) огнетушителей</t>
    </r>
  </si>
  <si>
    <t>обслуживание контейнерной площадки</t>
  </si>
  <si>
    <t>Остаток средств по статье "Содержание и ремонт жилья" за 2020 год</t>
  </si>
  <si>
    <t>Сумма расходов по месяцам 2021 года, руб.</t>
  </si>
  <si>
    <t>обслуживание системы вентиляции, установка дефлекторов на кровле</t>
  </si>
  <si>
    <t>в январе 2021 г. за декабрь 2020 г.</t>
  </si>
  <si>
    <t>в январе 2022 г. 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</si>
</sst>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i/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16" fontId="5" fillId="3" borderId="4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7" fillId="0" borderId="48" xfId="0" applyFont="1" applyFill="1" applyBorder="1" applyAlignment="1"/>
    <xf numFmtId="0" fontId="5" fillId="0" borderId="44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2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0" fontId="1" fillId="0" borderId="57" xfId="0" applyFont="1" applyFill="1" applyBorder="1" applyAlignment="1"/>
    <xf numFmtId="0" fontId="1" fillId="0" borderId="57" xfId="0" applyFont="1" applyFill="1" applyBorder="1" applyAlignment="1">
      <alignment vertical="center"/>
    </xf>
    <xf numFmtId="0" fontId="7" fillId="0" borderId="55" xfId="0" applyFont="1" applyFill="1" applyBorder="1" applyAlignment="1"/>
    <xf numFmtId="0" fontId="1" fillId="0" borderId="58" xfId="0" applyFont="1" applyFill="1" applyBorder="1" applyAlignment="1"/>
    <xf numFmtId="1" fontId="5" fillId="0" borderId="60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5" xfId="0" applyFont="1" applyFill="1" applyBorder="1"/>
    <xf numFmtId="0" fontId="7" fillId="0" borderId="61" xfId="0" applyFont="1" applyFill="1" applyBorder="1"/>
    <xf numFmtId="0" fontId="7" fillId="0" borderId="55" xfId="0" applyNumberFormat="1" applyFont="1" applyFill="1" applyBorder="1" applyAlignment="1"/>
    <xf numFmtId="0" fontId="7" fillId="0" borderId="0" xfId="0" applyFont="1" applyFill="1"/>
    <xf numFmtId="0" fontId="7" fillId="0" borderId="61" xfId="0" applyFont="1" applyFill="1" applyBorder="1" applyAlignment="1"/>
    <xf numFmtId="0" fontId="5" fillId="0" borderId="63" xfId="0" applyFont="1" applyFill="1" applyBorder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5" xfId="0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6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7" xfId="0" applyNumberFormat="1" applyFont="1" applyBorder="1" applyAlignment="1">
      <alignment horizontal="center" vertical="center"/>
    </xf>
    <xf numFmtId="0" fontId="7" fillId="0" borderId="66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1" fontId="5" fillId="0" borderId="17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1" fontId="7" fillId="7" borderId="14" xfId="0" applyNumberFormat="1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75" xfId="0" applyNumberFormat="1" applyFont="1" applyFill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7" fillId="0" borderId="81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5" fillId="0" borderId="76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7" fillId="7" borderId="59" xfId="0" applyNumberFormat="1" applyFont="1" applyFill="1" applyBorder="1"/>
    <xf numFmtId="1" fontId="5" fillId="7" borderId="17" xfId="0" applyNumberFormat="1" applyFont="1" applyFill="1" applyBorder="1"/>
    <xf numFmtId="0" fontId="1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7" borderId="33" xfId="0" applyFont="1" applyFill="1" applyBorder="1"/>
    <xf numFmtId="0" fontId="7" fillId="7" borderId="66" xfId="0" applyFont="1" applyFill="1" applyBorder="1"/>
    <xf numFmtId="0" fontId="9" fillId="0" borderId="0" xfId="0" applyFont="1"/>
    <xf numFmtId="1" fontId="5" fillId="0" borderId="13" xfId="0" applyNumberFormat="1" applyFont="1" applyFill="1" applyBorder="1"/>
    <xf numFmtId="0" fontId="7" fillId="7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5" fillId="0" borderId="47" xfId="0" applyFont="1" applyFill="1" applyBorder="1"/>
    <xf numFmtId="0" fontId="1" fillId="7" borderId="67" xfId="0" applyNumberFormat="1" applyFont="1" applyFill="1" applyBorder="1" applyAlignment="1">
      <alignment horizontal="center" vertical="center"/>
    </xf>
    <xf numFmtId="0" fontId="5" fillId="7" borderId="87" xfId="0" applyFont="1" applyFill="1" applyBorder="1" applyAlignment="1">
      <alignment horizontal="left"/>
    </xf>
    <xf numFmtId="2" fontId="1" fillId="7" borderId="58" xfId="0" applyNumberFormat="1" applyFont="1" applyFill="1" applyBorder="1" applyAlignment="1">
      <alignment horizontal="center"/>
    </xf>
    <xf numFmtId="1" fontId="5" fillId="7" borderId="88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5" fillId="7" borderId="89" xfId="0" applyFont="1" applyFill="1" applyBorder="1"/>
    <xf numFmtId="0" fontId="5" fillId="7" borderId="45" xfId="0" applyFont="1" applyFill="1" applyBorder="1"/>
    <xf numFmtId="0" fontId="5" fillId="7" borderId="39" xfId="0" applyFont="1" applyFill="1" applyBorder="1"/>
    <xf numFmtId="49" fontId="7" fillId="7" borderId="85" xfId="0" applyNumberFormat="1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left"/>
    </xf>
    <xf numFmtId="2" fontId="7" fillId="7" borderId="86" xfId="0" applyNumberFormat="1" applyFont="1" applyFill="1" applyBorder="1" applyAlignment="1">
      <alignment horizontal="center"/>
    </xf>
    <xf numFmtId="1" fontId="7" fillId="7" borderId="79" xfId="0" applyNumberFormat="1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7" borderId="69" xfId="0" applyFont="1" applyFill="1" applyBorder="1"/>
    <xf numFmtId="0" fontId="7" fillId="7" borderId="70" xfId="0" applyFont="1" applyFill="1" applyBorder="1"/>
    <xf numFmtId="0" fontId="7" fillId="7" borderId="0" xfId="0" applyFont="1" applyFill="1" applyBorder="1"/>
    <xf numFmtId="49" fontId="7" fillId="7" borderId="62" xfId="0" applyNumberFormat="1" applyFont="1" applyFill="1" applyBorder="1" applyAlignment="1">
      <alignment horizontal="center" vertical="center"/>
    </xf>
    <xf numFmtId="2" fontId="7" fillId="7" borderId="33" xfId="0" applyNumberFormat="1" applyFont="1" applyFill="1" applyBorder="1" applyAlignment="1">
      <alignment horizontal="center"/>
    </xf>
    <xf numFmtId="1" fontId="7" fillId="7" borderId="73" xfId="0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6" xfId="0" applyFont="1" applyFill="1" applyBorder="1"/>
    <xf numFmtId="0" fontId="7" fillId="7" borderId="49" xfId="0" applyFont="1" applyFill="1" applyBorder="1" applyAlignment="1">
      <alignment horizontal="left"/>
    </xf>
    <xf numFmtId="2" fontId="7" fillId="7" borderId="49" xfId="0" applyNumberFormat="1" applyFont="1" applyFill="1" applyBorder="1" applyAlignment="1">
      <alignment horizontal="center"/>
    </xf>
    <xf numFmtId="1" fontId="7" fillId="7" borderId="74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5" fillId="0" borderId="64" xfId="0" applyFont="1" applyFill="1" applyBorder="1"/>
    <xf numFmtId="2" fontId="5" fillId="0" borderId="24" xfId="0" applyNumberFormat="1" applyFont="1" applyFill="1" applyBorder="1" applyAlignment="1">
      <alignment horizontal="center"/>
    </xf>
    <xf numFmtId="1" fontId="7" fillId="0" borderId="81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5" fillId="8" borderId="47" xfId="0" applyFont="1" applyFill="1" applyBorder="1"/>
    <xf numFmtId="0" fontId="5" fillId="8" borderId="44" xfId="0" applyFont="1" applyFill="1" applyBorder="1"/>
    <xf numFmtId="0" fontId="5" fillId="8" borderId="8" xfId="0" applyFont="1" applyFill="1" applyBorder="1"/>
    <xf numFmtId="0" fontId="5" fillId="8" borderId="65" xfId="0" applyFont="1" applyFill="1" applyBorder="1"/>
    <xf numFmtId="1" fontId="5" fillId="8" borderId="16" xfId="0" applyNumberFormat="1" applyFont="1" applyFill="1" applyBorder="1"/>
    <xf numFmtId="2" fontId="5" fillId="0" borderId="63" xfId="0" applyNumberFormat="1" applyFont="1" applyFill="1" applyBorder="1"/>
    <xf numFmtId="2" fontId="5" fillId="0" borderId="8" xfId="0" applyNumberFormat="1" applyFont="1" applyFill="1" applyBorder="1"/>
    <xf numFmtId="2" fontId="7" fillId="0" borderId="33" xfId="0" applyNumberFormat="1" applyFont="1" applyFill="1" applyBorder="1"/>
    <xf numFmtId="2" fontId="7" fillId="0" borderId="48" xfId="0" applyNumberFormat="1" applyFont="1" applyFill="1" applyBorder="1"/>
    <xf numFmtId="2" fontId="7" fillId="0" borderId="33" xfId="0" applyNumberFormat="1" applyFont="1" applyFill="1" applyBorder="1" applyAlignment="1"/>
    <xf numFmtId="2" fontId="7" fillId="0" borderId="0" xfId="0" applyNumberFormat="1" applyFont="1" applyFill="1"/>
    <xf numFmtId="2" fontId="7" fillId="0" borderId="48" xfId="0" applyNumberFormat="1" applyFont="1" applyFill="1" applyBorder="1" applyAlignment="1"/>
    <xf numFmtId="2" fontId="7" fillId="0" borderId="46" xfId="0" applyNumberFormat="1" applyFont="1" applyFill="1" applyBorder="1" applyAlignment="1"/>
    <xf numFmtId="2" fontId="7" fillId="7" borderId="70" xfId="0" applyNumberFormat="1" applyFont="1" applyFill="1" applyBorder="1"/>
    <xf numFmtId="2" fontId="7" fillId="7" borderId="33" xfId="0" applyNumberFormat="1" applyFont="1" applyFill="1" applyBorder="1"/>
    <xf numFmtId="2" fontId="5" fillId="8" borderId="8" xfId="0" applyNumberFormat="1" applyFont="1" applyFill="1" applyBorder="1"/>
    <xf numFmtId="0" fontId="7" fillId="7" borderId="55" xfId="0" applyFont="1" applyFill="1" applyBorder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0" fontId="7" fillId="0" borderId="90" xfId="0" applyFont="1" applyBorder="1" applyAlignment="1">
      <alignment horizontal="left"/>
    </xf>
    <xf numFmtId="2" fontId="7" fillId="0" borderId="91" xfId="0" applyNumberFormat="1" applyFont="1" applyBorder="1" applyAlignment="1">
      <alignment horizontal="center"/>
    </xf>
    <xf numFmtId="2" fontId="7" fillId="0" borderId="92" xfId="0" applyNumberFormat="1" applyFont="1" applyBorder="1" applyAlignment="1">
      <alignment horizontal="center"/>
    </xf>
    <xf numFmtId="2" fontId="7" fillId="0" borderId="93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1" fontId="7" fillId="0" borderId="9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7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" fontId="7" fillId="0" borderId="95" xfId="0" applyNumberFormat="1" applyFont="1" applyFill="1" applyBorder="1"/>
    <xf numFmtId="1" fontId="7" fillId="0" borderId="18" xfId="0" applyNumberFormat="1" applyFont="1" applyFill="1" applyBorder="1"/>
    <xf numFmtId="0" fontId="1" fillId="0" borderId="0" xfId="0" applyFont="1" applyBorder="1" applyAlignment="1">
      <alignment horizontal="left"/>
    </xf>
    <xf numFmtId="2" fontId="8" fillId="0" borderId="8" xfId="0" applyNumberFormat="1" applyFont="1" applyFill="1" applyBorder="1" applyAlignment="1"/>
    <xf numFmtId="0" fontId="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5" fillId="3" borderId="6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justify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Border="1"/>
    <xf numFmtId="4" fontId="4" fillId="0" borderId="0" xfId="0" applyNumberFormat="1" applyFont="1" applyFill="1" applyBorder="1"/>
    <xf numFmtId="0" fontId="0" fillId="0" borderId="0" xfId="0" applyFill="1" applyBorder="1" applyAlignment="1">
      <alignment wrapText="1"/>
    </xf>
    <xf numFmtId="2" fontId="4" fillId="0" borderId="0" xfId="0" applyNumberFormat="1" applyFont="1" applyBorder="1"/>
    <xf numFmtId="0" fontId="0" fillId="0" borderId="0" xfId="0" applyFill="1" applyBorder="1"/>
    <xf numFmtId="4" fontId="0" fillId="0" borderId="0" xfId="0" applyNumberFormat="1" applyBorder="1"/>
    <xf numFmtId="1" fontId="0" fillId="0" borderId="0" xfId="0" applyNumberFormat="1" applyBorder="1"/>
    <xf numFmtId="1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abSelected="1" workbookViewId="0">
      <pane xSplit="5" ySplit="4" topLeftCell="F38" activePane="bottomRight" state="frozen"/>
      <selection pane="topRight" activeCell="F1" sqref="F1"/>
      <selection pane="bottomLeft" activeCell="A5" sqref="A5"/>
      <selection pane="bottomRight" activeCell="Q89" sqref="Q89"/>
    </sheetView>
  </sheetViews>
  <sheetFormatPr defaultRowHeight="12.75" outlineLevelRow="1" x14ac:dyDescent="0.2"/>
  <cols>
    <col min="1" max="1" width="6.7109375" bestFit="1" customWidth="1"/>
    <col min="2" max="2" width="80.85546875" bestFit="1" customWidth="1"/>
    <col min="3" max="3" width="9" customWidth="1"/>
    <col min="4" max="4" width="8.7109375" customWidth="1"/>
    <col min="5" max="5" width="8.140625" customWidth="1"/>
    <col min="6" max="6" width="9.5703125" customWidth="1"/>
    <col min="7" max="8" width="9.5703125" bestFit="1" customWidth="1"/>
    <col min="9" max="11" width="10" bestFit="1" customWidth="1"/>
    <col min="12" max="14" width="9.5703125" bestFit="1" customWidth="1"/>
    <col min="15" max="15" width="9.7109375" bestFit="1" customWidth="1"/>
    <col min="16" max="16" width="10" bestFit="1" customWidth="1"/>
    <col min="17" max="17" width="9.5703125" bestFit="1" customWidth="1"/>
    <col min="18" max="18" width="10" bestFit="1" customWidth="1"/>
    <col min="19" max="19" width="9.7109375" customWidth="1"/>
  </cols>
  <sheetData>
    <row r="1" spans="1:21" x14ac:dyDescent="0.2">
      <c r="A1" s="243" t="s">
        <v>0</v>
      </c>
      <c r="B1" s="243"/>
      <c r="C1" s="243"/>
      <c r="D1" s="243"/>
      <c r="E1" s="243"/>
    </row>
    <row r="2" spans="1:21" ht="13.5" thickBot="1" x14ac:dyDescent="0.25">
      <c r="A2" s="243" t="s">
        <v>205</v>
      </c>
      <c r="B2" s="243"/>
      <c r="C2" s="243"/>
      <c r="D2" s="243"/>
      <c r="E2" s="243"/>
    </row>
    <row r="3" spans="1:21" ht="13.5" customHeight="1" thickBot="1" x14ac:dyDescent="0.25">
      <c r="A3" s="244"/>
      <c r="B3" s="244"/>
      <c r="C3" s="244"/>
      <c r="D3" s="244"/>
      <c r="E3" s="244"/>
      <c r="F3" s="240" t="s">
        <v>212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  <c r="S3" s="170"/>
      <c r="T3" s="171"/>
      <c r="U3" s="171"/>
    </row>
    <row r="4" spans="1:21" ht="52.15" customHeight="1" thickBot="1" x14ac:dyDescent="0.25">
      <c r="A4" s="9" t="s">
        <v>1</v>
      </c>
      <c r="B4" s="10" t="s">
        <v>2</v>
      </c>
      <c r="C4" s="12" t="s">
        <v>67</v>
      </c>
      <c r="D4" s="12" t="s">
        <v>3</v>
      </c>
      <c r="E4" s="19" t="s">
        <v>4</v>
      </c>
      <c r="F4" s="85" t="s">
        <v>214</v>
      </c>
      <c r="G4" s="83" t="s">
        <v>89</v>
      </c>
      <c r="H4" s="13" t="s">
        <v>32</v>
      </c>
      <c r="I4" s="14" t="s">
        <v>33</v>
      </c>
      <c r="J4" s="13" t="s">
        <v>34</v>
      </c>
      <c r="K4" s="14" t="s">
        <v>35</v>
      </c>
      <c r="L4" s="13" t="s">
        <v>36</v>
      </c>
      <c r="M4" s="14" t="s">
        <v>37</v>
      </c>
      <c r="N4" s="13" t="s">
        <v>38</v>
      </c>
      <c r="O4" s="14" t="s">
        <v>39</v>
      </c>
      <c r="P4" s="13" t="s">
        <v>40</v>
      </c>
      <c r="Q4" s="14" t="s">
        <v>41</v>
      </c>
      <c r="R4" s="20" t="s">
        <v>42</v>
      </c>
      <c r="S4" s="85" t="s">
        <v>215</v>
      </c>
      <c r="T4" s="172" t="s">
        <v>43</v>
      </c>
      <c r="U4" s="172" t="s">
        <v>44</v>
      </c>
    </row>
    <row r="5" spans="1:21" ht="13.5" thickBot="1" x14ac:dyDescent="0.25">
      <c r="A5" s="24">
        <v>1</v>
      </c>
      <c r="B5" s="6" t="s">
        <v>106</v>
      </c>
      <c r="C5" s="34">
        <f>D5/D76</f>
        <v>6.509022118742724</v>
      </c>
      <c r="D5" s="149">
        <f t="shared" ref="D5:D38" si="0">E5/12</f>
        <v>162146.25</v>
      </c>
      <c r="E5" s="61">
        <v>1945755</v>
      </c>
      <c r="F5" s="115"/>
      <c r="G5" s="114">
        <v>55900</v>
      </c>
      <c r="H5" s="114">
        <v>147651.6</v>
      </c>
      <c r="I5" s="114">
        <v>165211.88</v>
      </c>
      <c r="J5" s="114">
        <v>234787.55</v>
      </c>
      <c r="K5" s="208">
        <v>89929.73</v>
      </c>
      <c r="L5" s="208">
        <v>181865.42</v>
      </c>
      <c r="M5" s="208">
        <v>137800.57999999999</v>
      </c>
      <c r="N5" s="208">
        <v>183190.22</v>
      </c>
      <c r="O5" s="208">
        <v>164597.16</v>
      </c>
      <c r="P5" s="208">
        <v>170004.28</v>
      </c>
      <c r="Q5" s="208">
        <v>167232.1</v>
      </c>
      <c r="R5" s="114">
        <v>233941.68</v>
      </c>
      <c r="S5" s="115">
        <v>3796.64</v>
      </c>
      <c r="T5" s="116">
        <f>SUM(G5:S5)</f>
        <v>1935908.8399999999</v>
      </c>
      <c r="U5" s="168">
        <f>E5-T5</f>
        <v>9846.160000000149</v>
      </c>
    </row>
    <row r="6" spans="1:21" ht="13.5" thickBot="1" x14ac:dyDescent="0.25">
      <c r="A6" s="24">
        <v>2</v>
      </c>
      <c r="B6" s="6" t="s">
        <v>117</v>
      </c>
      <c r="C6" s="34">
        <f>D6/D76</f>
        <v>0.94295692665890574</v>
      </c>
      <c r="D6" s="149">
        <f t="shared" si="0"/>
        <v>23490</v>
      </c>
      <c r="E6" s="61">
        <v>281880</v>
      </c>
      <c r="F6" s="173"/>
      <c r="G6" s="91"/>
      <c r="H6" s="86">
        <v>22400</v>
      </c>
      <c r="I6" s="86">
        <v>24580</v>
      </c>
      <c r="J6" s="86">
        <v>46980</v>
      </c>
      <c r="K6" s="209"/>
      <c r="L6" s="209">
        <v>23490</v>
      </c>
      <c r="M6" s="209">
        <v>23490</v>
      </c>
      <c r="N6" s="209">
        <v>23490</v>
      </c>
      <c r="O6" s="209">
        <v>23490</v>
      </c>
      <c r="P6" s="209">
        <v>23490</v>
      </c>
      <c r="Q6" s="209">
        <v>23490</v>
      </c>
      <c r="R6" s="86">
        <v>46980</v>
      </c>
      <c r="S6" s="117"/>
      <c r="T6" s="116">
        <f>SUM(G6:S6)</f>
        <v>281880</v>
      </c>
      <c r="U6" s="168">
        <f>E6-T6</f>
        <v>0</v>
      </c>
    </row>
    <row r="7" spans="1:21" ht="13.5" thickBot="1" x14ac:dyDescent="0.25">
      <c r="A7" s="24">
        <v>3</v>
      </c>
      <c r="B7" s="6" t="s">
        <v>118</v>
      </c>
      <c r="C7" s="34">
        <f>D7/D76</f>
        <v>3.6903376018626308</v>
      </c>
      <c r="D7" s="149">
        <f>E7/12</f>
        <v>91930</v>
      </c>
      <c r="E7" s="61">
        <v>1103160</v>
      </c>
      <c r="F7" s="108">
        <v>84247.92</v>
      </c>
      <c r="G7" s="87"/>
      <c r="H7" s="87">
        <v>83725.710000000006</v>
      </c>
      <c r="I7" s="87">
        <v>80960</v>
      </c>
      <c r="J7" s="86">
        <v>90208</v>
      </c>
      <c r="K7" s="209">
        <v>86004.87</v>
      </c>
      <c r="L7" s="209">
        <v>106558.26</v>
      </c>
      <c r="M7" s="209">
        <v>84301.72</v>
      </c>
      <c r="N7" s="209">
        <v>88107.07</v>
      </c>
      <c r="O7" s="209">
        <v>98283.63</v>
      </c>
      <c r="P7" s="209">
        <v>98003.5</v>
      </c>
      <c r="Q7" s="209">
        <v>95923.15</v>
      </c>
      <c r="R7" s="86">
        <v>113701.35</v>
      </c>
      <c r="S7" s="108">
        <v>61898.77</v>
      </c>
      <c r="T7" s="132">
        <f>SUM(G7:S7)</f>
        <v>1087676.03</v>
      </c>
      <c r="U7" s="132">
        <f>E7-T7</f>
        <v>15483.969999999972</v>
      </c>
    </row>
    <row r="8" spans="1:21" ht="13.5" thickBot="1" x14ac:dyDescent="0.25">
      <c r="A8" s="24">
        <v>4</v>
      </c>
      <c r="B8" s="6" t="s">
        <v>105</v>
      </c>
      <c r="C8" s="34">
        <f>D8/D76</f>
        <v>0.73595332717808726</v>
      </c>
      <c r="D8" s="149">
        <f t="shared" si="0"/>
        <v>18333.333333333332</v>
      </c>
      <c r="E8" s="61">
        <v>220000</v>
      </c>
      <c r="F8" s="108">
        <v>1030.25</v>
      </c>
      <c r="G8" s="86">
        <v>13840.79</v>
      </c>
      <c r="H8" s="86">
        <v>16788.23</v>
      </c>
      <c r="I8" s="86">
        <v>17847.400000000001</v>
      </c>
      <c r="J8" s="86">
        <v>16367.77</v>
      </c>
      <c r="K8" s="209">
        <v>18354.07</v>
      </c>
      <c r="L8" s="209">
        <v>14933.01</v>
      </c>
      <c r="M8" s="209">
        <v>16686.54</v>
      </c>
      <c r="N8" s="209">
        <v>19545.66</v>
      </c>
      <c r="O8" s="209">
        <v>20166.830000000002</v>
      </c>
      <c r="P8" s="209">
        <v>17060.55</v>
      </c>
      <c r="Q8" s="209">
        <v>17053.759999999998</v>
      </c>
      <c r="R8" s="86">
        <v>19915</v>
      </c>
      <c r="S8" s="108">
        <v>650</v>
      </c>
      <c r="T8" s="132">
        <f t="shared" ref="T8:T18" si="1">SUM(G8:S8)</f>
        <v>209209.61</v>
      </c>
      <c r="U8" s="132">
        <f t="shared" ref="U8:U60" si="2">E8-T8</f>
        <v>10790.390000000014</v>
      </c>
    </row>
    <row r="9" spans="1:21" x14ac:dyDescent="0.2">
      <c r="A9" s="123">
        <v>5</v>
      </c>
      <c r="B9" s="7" t="s">
        <v>5</v>
      </c>
      <c r="C9" s="35">
        <f>D9/D76</f>
        <v>9.3666787095392945E-2</v>
      </c>
      <c r="D9" s="150">
        <f t="shared" si="0"/>
        <v>2333.3333333333335</v>
      </c>
      <c r="E9" s="62">
        <f>E10+E11</f>
        <v>28000</v>
      </c>
      <c r="F9" s="82">
        <f t="shared" ref="F9" si="3">SUM(F10:F11)</f>
        <v>1955.52</v>
      </c>
      <c r="G9" s="82">
        <f>SUM(G10:G11)</f>
        <v>0</v>
      </c>
      <c r="H9" s="82">
        <f>SUM(H10:H11)</f>
        <v>1840.53</v>
      </c>
      <c r="I9" s="82">
        <f>SUM(I10:I11)</f>
        <v>2699.59</v>
      </c>
      <c r="J9" s="82">
        <f t="shared" ref="J9:S9" si="4">SUM(J10:J11)</f>
        <v>2828.33</v>
      </c>
      <c r="K9" s="66">
        <f t="shared" si="4"/>
        <v>1869.13</v>
      </c>
      <c r="L9" s="66">
        <f t="shared" si="4"/>
        <v>1807.82</v>
      </c>
      <c r="M9" s="66">
        <f t="shared" si="4"/>
        <v>1848.36</v>
      </c>
      <c r="N9" s="66">
        <f t="shared" si="4"/>
        <v>2866.69</v>
      </c>
      <c r="O9" s="66">
        <f t="shared" si="4"/>
        <v>1898.76</v>
      </c>
      <c r="P9" s="66">
        <f t="shared" si="4"/>
        <v>1802.59</v>
      </c>
      <c r="Q9" s="66">
        <f t="shared" si="4"/>
        <v>2046.64</v>
      </c>
      <c r="R9" s="82">
        <f t="shared" si="4"/>
        <v>2857.3199999999997</v>
      </c>
      <c r="S9" s="82">
        <f t="shared" si="4"/>
        <v>1919.54</v>
      </c>
      <c r="T9" s="22">
        <f t="shared" si="1"/>
        <v>26285.3</v>
      </c>
      <c r="U9" s="22">
        <f t="shared" si="2"/>
        <v>1714.7000000000007</v>
      </c>
    </row>
    <row r="10" spans="1:21" s="52" customFormat="1" ht="12" outlineLevel="1" x14ac:dyDescent="0.2">
      <c r="A10" s="29" t="s">
        <v>45</v>
      </c>
      <c r="B10" s="41" t="s">
        <v>194</v>
      </c>
      <c r="C10" s="42">
        <f>D10/D76</f>
        <v>7.6940575114072762E-2</v>
      </c>
      <c r="D10" s="151">
        <f t="shared" si="0"/>
        <v>1916.6666666666667</v>
      </c>
      <c r="E10" s="45">
        <v>23000</v>
      </c>
      <c r="F10" s="109">
        <v>1955.52</v>
      </c>
      <c r="G10" s="88"/>
      <c r="H10" s="88">
        <v>1840.53</v>
      </c>
      <c r="I10" s="88">
        <v>1908.53</v>
      </c>
      <c r="J10" s="88">
        <v>1763.33</v>
      </c>
      <c r="K10" s="210">
        <v>1826.13</v>
      </c>
      <c r="L10" s="210">
        <v>1807.82</v>
      </c>
      <c r="M10" s="210">
        <v>1848.36</v>
      </c>
      <c r="N10" s="210">
        <v>1815.19</v>
      </c>
      <c r="O10" s="210">
        <v>1898.76</v>
      </c>
      <c r="P10" s="210">
        <v>1802.59</v>
      </c>
      <c r="Q10" s="210">
        <v>1757.64</v>
      </c>
      <c r="R10" s="88">
        <v>1906.32</v>
      </c>
      <c r="S10" s="109">
        <v>1919.54</v>
      </c>
      <c r="T10" s="51">
        <f t="shared" si="1"/>
        <v>22094.74</v>
      </c>
      <c r="U10" s="51">
        <f t="shared" si="2"/>
        <v>905.2599999999984</v>
      </c>
    </row>
    <row r="11" spans="1:21" s="52" customFormat="1" outlineLevel="1" thickBot="1" x14ac:dyDescent="0.25">
      <c r="A11" s="29" t="s">
        <v>46</v>
      </c>
      <c r="B11" s="48" t="s">
        <v>6</v>
      </c>
      <c r="C11" s="49">
        <f>D11/D76</f>
        <v>1.6726211981320169E-2</v>
      </c>
      <c r="D11" s="152">
        <f t="shared" si="0"/>
        <v>416.66666666666669</v>
      </c>
      <c r="E11" s="63">
        <v>5000</v>
      </c>
      <c r="F11" s="110"/>
      <c r="G11" s="89"/>
      <c r="H11" s="89"/>
      <c r="I11" s="89">
        <v>791.06</v>
      </c>
      <c r="J11" s="89">
        <v>1065</v>
      </c>
      <c r="K11" s="211">
        <v>43</v>
      </c>
      <c r="L11" s="211"/>
      <c r="M11" s="211"/>
      <c r="N11" s="211">
        <v>1051.5</v>
      </c>
      <c r="O11" s="211"/>
      <c r="P11" s="211"/>
      <c r="Q11" s="211">
        <v>289</v>
      </c>
      <c r="R11" s="89">
        <v>951</v>
      </c>
      <c r="S11" s="110"/>
      <c r="T11" s="51">
        <f t="shared" si="1"/>
        <v>4190.5599999999995</v>
      </c>
      <c r="U11" s="64">
        <f t="shared" si="2"/>
        <v>809.44000000000051</v>
      </c>
    </row>
    <row r="12" spans="1:21" x14ac:dyDescent="0.2">
      <c r="A12" s="25" t="s">
        <v>107</v>
      </c>
      <c r="B12" s="7" t="s">
        <v>7</v>
      </c>
      <c r="C12" s="35">
        <f>D12/D76</f>
        <v>0.22747648294595427</v>
      </c>
      <c r="D12" s="150">
        <f t="shared" si="0"/>
        <v>5666.666666666667</v>
      </c>
      <c r="E12" s="62">
        <f>E13+E14</f>
        <v>68000</v>
      </c>
      <c r="F12" s="66">
        <f t="shared" ref="F12" si="5">SUM(F13:F14)</f>
        <v>0</v>
      </c>
      <c r="G12" s="66">
        <f t="shared" ref="G12:S12" si="6">SUM(G13:G14)</f>
        <v>0</v>
      </c>
      <c r="H12" s="66">
        <f>SUM(H13:H14)</f>
        <v>5500</v>
      </c>
      <c r="I12" s="66">
        <f>SUM(I13:I14)</f>
        <v>5500</v>
      </c>
      <c r="J12" s="66">
        <f t="shared" si="6"/>
        <v>11000</v>
      </c>
      <c r="K12" s="66">
        <f>SUM(K13:K14)</f>
        <v>0</v>
      </c>
      <c r="L12" s="66">
        <f t="shared" si="6"/>
        <v>5500</v>
      </c>
      <c r="M12" s="66">
        <f t="shared" si="6"/>
        <v>5500</v>
      </c>
      <c r="N12" s="66">
        <f t="shared" si="6"/>
        <v>5500</v>
      </c>
      <c r="O12" s="66">
        <f t="shared" si="6"/>
        <v>5500</v>
      </c>
      <c r="P12" s="66">
        <f t="shared" si="6"/>
        <v>5500</v>
      </c>
      <c r="Q12" s="66">
        <f t="shared" si="6"/>
        <v>5500</v>
      </c>
      <c r="R12" s="66">
        <f t="shared" si="6"/>
        <v>11000</v>
      </c>
      <c r="S12" s="66">
        <f t="shared" si="6"/>
        <v>0</v>
      </c>
      <c r="T12" s="22">
        <f t="shared" si="1"/>
        <v>66000</v>
      </c>
      <c r="U12" s="22">
        <f t="shared" si="2"/>
        <v>2000</v>
      </c>
    </row>
    <row r="13" spans="1:21" s="52" customFormat="1" ht="12" outlineLevel="1" x14ac:dyDescent="0.2">
      <c r="A13" s="29" t="s">
        <v>131</v>
      </c>
      <c r="B13" s="65" t="s">
        <v>8</v>
      </c>
      <c r="C13" s="42">
        <f>D13/D76</f>
        <v>0.2207859981534262</v>
      </c>
      <c r="D13" s="201">
        <f t="shared" si="0"/>
        <v>5500</v>
      </c>
      <c r="E13" s="45">
        <v>66000</v>
      </c>
      <c r="F13" s="111"/>
      <c r="G13" s="67"/>
      <c r="H13" s="67">
        <v>5500</v>
      </c>
      <c r="I13" s="67">
        <v>5500</v>
      </c>
      <c r="J13" s="67">
        <v>11000</v>
      </c>
      <c r="K13" s="212"/>
      <c r="L13" s="212">
        <v>5500</v>
      </c>
      <c r="M13" s="212">
        <v>5500</v>
      </c>
      <c r="N13" s="212">
        <v>5500</v>
      </c>
      <c r="O13" s="212">
        <v>5500</v>
      </c>
      <c r="P13" s="212">
        <v>5500</v>
      </c>
      <c r="Q13" s="212">
        <v>5500</v>
      </c>
      <c r="R13" s="67">
        <v>11000</v>
      </c>
      <c r="S13" s="111"/>
      <c r="T13" s="51">
        <f t="shared" si="1"/>
        <v>66000</v>
      </c>
      <c r="U13" s="51">
        <f t="shared" si="2"/>
        <v>0</v>
      </c>
    </row>
    <row r="14" spans="1:21" s="52" customFormat="1" outlineLevel="1" thickBot="1" x14ac:dyDescent="0.25">
      <c r="A14" s="29" t="s">
        <v>132</v>
      </c>
      <c r="B14" s="41" t="s">
        <v>9</v>
      </c>
      <c r="C14" s="42">
        <f>D14/D76</f>
        <v>6.6904847925280666E-3</v>
      </c>
      <c r="D14" s="151">
        <f t="shared" si="0"/>
        <v>166.66666666666666</v>
      </c>
      <c r="E14" s="45">
        <v>2000</v>
      </c>
      <c r="F14" s="67"/>
      <c r="G14" s="67"/>
      <c r="H14" s="67"/>
      <c r="I14" s="67"/>
      <c r="J14" s="67"/>
      <c r="K14" s="212"/>
      <c r="L14" s="212"/>
      <c r="M14" s="212"/>
      <c r="N14" s="212"/>
      <c r="O14" s="212"/>
      <c r="P14" s="212"/>
      <c r="Q14" s="212"/>
      <c r="R14" s="67"/>
      <c r="S14" s="67"/>
      <c r="T14" s="50">
        <f t="shared" si="1"/>
        <v>0</v>
      </c>
      <c r="U14" s="51">
        <f t="shared" si="2"/>
        <v>2000</v>
      </c>
    </row>
    <row r="15" spans="1:21" ht="13.5" thickBot="1" x14ac:dyDescent="0.25">
      <c r="A15" s="26" t="s">
        <v>108</v>
      </c>
      <c r="B15" s="6" t="s">
        <v>11</v>
      </c>
      <c r="C15" s="34">
        <f>D15/D76</f>
        <v>7.5736287851417708E-3</v>
      </c>
      <c r="D15" s="149">
        <f t="shared" si="0"/>
        <v>188.66666666666666</v>
      </c>
      <c r="E15" s="61">
        <v>2264</v>
      </c>
      <c r="F15" s="173"/>
      <c r="G15" s="91"/>
      <c r="H15" s="86"/>
      <c r="I15" s="86"/>
      <c r="J15" s="86"/>
      <c r="K15" s="209">
        <v>4614</v>
      </c>
      <c r="L15" s="209"/>
      <c r="M15" s="209"/>
      <c r="N15" s="209"/>
      <c r="O15" s="209"/>
      <c r="P15" s="209"/>
      <c r="Q15" s="209"/>
      <c r="R15" s="86"/>
      <c r="S15" s="117"/>
      <c r="T15" s="21">
        <f>SUM(G15:S15)</f>
        <v>4614</v>
      </c>
      <c r="U15" s="21">
        <f t="shared" si="2"/>
        <v>-2350</v>
      </c>
    </row>
    <row r="16" spans="1:21" x14ac:dyDescent="0.2">
      <c r="A16" s="25" t="s">
        <v>109</v>
      </c>
      <c r="B16" s="7" t="s">
        <v>69</v>
      </c>
      <c r="C16" s="35">
        <f>D16/D76</f>
        <v>0.21075027096463408</v>
      </c>
      <c r="D16" s="150">
        <f t="shared" si="0"/>
        <v>5250</v>
      </c>
      <c r="E16" s="62">
        <f>SUM(E17:E19)</f>
        <v>63000</v>
      </c>
      <c r="F16" s="100">
        <f>SUM(F17:F19)</f>
        <v>0</v>
      </c>
      <c r="G16" s="68">
        <f>SUM(G17:G19)</f>
        <v>31730.02</v>
      </c>
      <c r="H16" s="68">
        <f t="shared" ref="H16:S16" si="7">SUM(H17:H19)</f>
        <v>3140.42</v>
      </c>
      <c r="I16" s="68">
        <f t="shared" si="7"/>
        <v>1140</v>
      </c>
      <c r="J16" s="68">
        <f t="shared" si="7"/>
        <v>5174</v>
      </c>
      <c r="K16" s="68">
        <f t="shared" si="7"/>
        <v>2300</v>
      </c>
      <c r="L16" s="68">
        <f t="shared" si="7"/>
        <v>0</v>
      </c>
      <c r="M16" s="68">
        <f t="shared" si="7"/>
        <v>0</v>
      </c>
      <c r="N16" s="68">
        <f>SUM(N17:N19)</f>
        <v>4610</v>
      </c>
      <c r="O16" s="68">
        <f t="shared" si="7"/>
        <v>0</v>
      </c>
      <c r="P16" s="68">
        <f t="shared" si="7"/>
        <v>4058.94</v>
      </c>
      <c r="Q16" s="68">
        <f t="shared" si="7"/>
        <v>0</v>
      </c>
      <c r="R16" s="68">
        <f t="shared" si="7"/>
        <v>5600</v>
      </c>
      <c r="S16" s="100">
        <f t="shared" si="7"/>
        <v>0</v>
      </c>
      <c r="T16" s="22">
        <f t="shared" si="1"/>
        <v>57753.380000000005</v>
      </c>
      <c r="U16" s="22">
        <f t="shared" si="2"/>
        <v>5246.6199999999953</v>
      </c>
    </row>
    <row r="17" spans="1:21" s="52" customFormat="1" ht="12.75" customHeight="1" outlineLevel="1" x14ac:dyDescent="0.2">
      <c r="A17" s="29" t="s">
        <v>47</v>
      </c>
      <c r="B17" s="41" t="s">
        <v>88</v>
      </c>
      <c r="C17" s="42">
        <f>D17/D76</f>
        <v>5.0178635943960499E-2</v>
      </c>
      <c r="D17" s="151">
        <f t="shared" si="0"/>
        <v>1250</v>
      </c>
      <c r="E17" s="45">
        <v>15000</v>
      </c>
      <c r="F17" s="102"/>
      <c r="G17" s="70">
        <v>3750</v>
      </c>
      <c r="H17" s="70">
        <v>3140.42</v>
      </c>
      <c r="I17" s="70">
        <v>1140</v>
      </c>
      <c r="J17" s="70">
        <v>3675</v>
      </c>
      <c r="K17" s="212"/>
      <c r="L17" s="212"/>
      <c r="M17" s="212"/>
      <c r="N17" s="212">
        <v>3810</v>
      </c>
      <c r="O17" s="212"/>
      <c r="P17" s="212">
        <v>4058.94</v>
      </c>
      <c r="Q17" s="212"/>
      <c r="R17" s="70"/>
      <c r="S17" s="102"/>
      <c r="T17" s="51">
        <f t="shared" si="1"/>
        <v>19574.36</v>
      </c>
      <c r="U17" s="51">
        <f t="shared" si="2"/>
        <v>-4574.3600000000006</v>
      </c>
    </row>
    <row r="18" spans="1:21" s="52" customFormat="1" ht="12" outlineLevel="1" x14ac:dyDescent="0.2">
      <c r="A18" s="29" t="s">
        <v>48</v>
      </c>
      <c r="B18" s="41" t="s">
        <v>72</v>
      </c>
      <c r="C18" s="42">
        <f>D18/D76</f>
        <v>3.3452423962640337E-2</v>
      </c>
      <c r="D18" s="151">
        <f t="shared" si="0"/>
        <v>833.33333333333337</v>
      </c>
      <c r="E18" s="45">
        <v>10000</v>
      </c>
      <c r="F18" s="102"/>
      <c r="G18" s="70"/>
      <c r="H18" s="70"/>
      <c r="I18" s="70"/>
      <c r="J18" s="70"/>
      <c r="K18" s="212">
        <v>2300</v>
      </c>
      <c r="L18" s="212"/>
      <c r="M18" s="213"/>
      <c r="N18" s="212">
        <v>800</v>
      </c>
      <c r="O18" s="212"/>
      <c r="P18" s="212"/>
      <c r="Q18" s="212"/>
      <c r="R18" s="70"/>
      <c r="S18" s="102"/>
      <c r="T18" s="51">
        <f t="shared" si="1"/>
        <v>3100</v>
      </c>
      <c r="U18" s="51">
        <f t="shared" si="2"/>
        <v>6900</v>
      </c>
    </row>
    <row r="19" spans="1:21" s="52" customFormat="1" outlineLevel="1" thickBot="1" x14ac:dyDescent="0.25">
      <c r="A19" s="29" t="s">
        <v>49</v>
      </c>
      <c r="B19" s="41" t="s">
        <v>207</v>
      </c>
      <c r="C19" s="42">
        <f>D19/D76</f>
        <v>0.12711921105803325</v>
      </c>
      <c r="D19" s="151">
        <f t="shared" si="0"/>
        <v>3166.6666666666665</v>
      </c>
      <c r="E19" s="45">
        <v>38000</v>
      </c>
      <c r="F19" s="70"/>
      <c r="G19" s="70">
        <v>27980.02</v>
      </c>
      <c r="H19" s="70"/>
      <c r="I19" s="70"/>
      <c r="J19" s="70">
        <v>1499</v>
      </c>
      <c r="K19" s="70"/>
      <c r="L19" s="70"/>
      <c r="M19" s="70"/>
      <c r="N19" s="70"/>
      <c r="O19" s="70"/>
      <c r="P19" s="70"/>
      <c r="Q19" s="70"/>
      <c r="R19" s="70">
        <v>5600</v>
      </c>
      <c r="S19" s="70"/>
      <c r="T19" s="51">
        <f>SUM(G19:S19)</f>
        <v>35079.020000000004</v>
      </c>
      <c r="U19" s="119">
        <f t="shared" si="2"/>
        <v>2920.9799999999959</v>
      </c>
    </row>
    <row r="20" spans="1:21" x14ac:dyDescent="0.2">
      <c r="A20" s="25" t="s">
        <v>110</v>
      </c>
      <c r="B20" s="7" t="s">
        <v>12</v>
      </c>
      <c r="C20" s="35">
        <f>D20/D76</f>
        <v>0.13380969585056135</v>
      </c>
      <c r="D20" s="150">
        <f t="shared" si="0"/>
        <v>3333.3333333333335</v>
      </c>
      <c r="E20" s="62">
        <f>SUM(E21:E24)</f>
        <v>40000</v>
      </c>
      <c r="F20" s="100">
        <f t="shared" ref="F20" si="8">SUM(F21:F24)</f>
        <v>0</v>
      </c>
      <c r="G20" s="68">
        <f t="shared" ref="G20:S20" si="9">SUM(G21:G24)</f>
        <v>0</v>
      </c>
      <c r="H20" s="68">
        <f t="shared" si="9"/>
        <v>0</v>
      </c>
      <c r="I20" s="68">
        <f>SUM(I21:I24)</f>
        <v>2208.9700000000003</v>
      </c>
      <c r="J20" s="68">
        <f t="shared" si="9"/>
        <v>9868.1899999999987</v>
      </c>
      <c r="K20" s="68">
        <f t="shared" si="9"/>
        <v>2827</v>
      </c>
      <c r="L20" s="68">
        <f t="shared" si="9"/>
        <v>2034</v>
      </c>
      <c r="M20" s="68">
        <f t="shared" si="9"/>
        <v>12888.84</v>
      </c>
      <c r="N20" s="68">
        <f>SUM(N21:N24)</f>
        <v>5538.49</v>
      </c>
      <c r="O20" s="68">
        <f t="shared" si="9"/>
        <v>8544.82</v>
      </c>
      <c r="P20" s="68">
        <f t="shared" si="9"/>
        <v>2438</v>
      </c>
      <c r="Q20" s="68">
        <f t="shared" si="9"/>
        <v>4175</v>
      </c>
      <c r="R20" s="68">
        <f t="shared" si="9"/>
        <v>4538.9699999999993</v>
      </c>
      <c r="S20" s="100">
        <f t="shared" si="9"/>
        <v>0</v>
      </c>
      <c r="T20" s="22">
        <f t="shared" ref="T20:T21" si="10">SUM(G20:S20)</f>
        <v>55062.28</v>
      </c>
      <c r="U20" s="22">
        <f t="shared" si="2"/>
        <v>-15062.279999999999</v>
      </c>
    </row>
    <row r="21" spans="1:21" s="52" customFormat="1" ht="12" outlineLevel="1" x14ac:dyDescent="0.2">
      <c r="A21" s="29" t="s">
        <v>50</v>
      </c>
      <c r="B21" s="41" t="s">
        <v>178</v>
      </c>
      <c r="C21" s="42">
        <f>D21/D76</f>
        <v>0.100357271887921</v>
      </c>
      <c r="D21" s="151">
        <f t="shared" si="0"/>
        <v>2500</v>
      </c>
      <c r="E21" s="45">
        <v>30000</v>
      </c>
      <c r="F21" s="102"/>
      <c r="G21" s="70"/>
      <c r="H21" s="70"/>
      <c r="I21" s="70">
        <v>2028.97</v>
      </c>
      <c r="J21" s="70">
        <f>4508.19+2514</f>
        <v>7022.19</v>
      </c>
      <c r="K21" s="212"/>
      <c r="L21" s="212"/>
      <c r="M21" s="212">
        <v>4442.8</v>
      </c>
      <c r="N21" s="212">
        <v>119.99</v>
      </c>
      <c r="O21" s="212">
        <f>4682.36+516.16</f>
        <v>5198.5199999999995</v>
      </c>
      <c r="P21" s="212">
        <v>914</v>
      </c>
      <c r="Q21" s="212"/>
      <c r="R21" s="70">
        <v>226.97</v>
      </c>
      <c r="S21" s="102"/>
      <c r="T21" s="51">
        <f t="shared" si="10"/>
        <v>19953.439999999999</v>
      </c>
      <c r="U21" s="119">
        <f t="shared" si="2"/>
        <v>10046.560000000001</v>
      </c>
    </row>
    <row r="22" spans="1:21" s="52" customFormat="1" ht="12" outlineLevel="1" x14ac:dyDescent="0.2">
      <c r="A22" s="29" t="s">
        <v>51</v>
      </c>
      <c r="B22" s="41" t="s">
        <v>15</v>
      </c>
      <c r="C22" s="42">
        <f>D22/D76</f>
        <v>1.3380969585056133E-2</v>
      </c>
      <c r="D22" s="151">
        <f t="shared" si="0"/>
        <v>333.33333333333331</v>
      </c>
      <c r="E22" s="45">
        <v>4000</v>
      </c>
      <c r="F22" s="102"/>
      <c r="G22" s="70"/>
      <c r="H22" s="70"/>
      <c r="I22" s="70"/>
      <c r="J22" s="70">
        <v>1325</v>
      </c>
      <c r="K22" s="212">
        <v>350</v>
      </c>
      <c r="L22" s="212">
        <v>280</v>
      </c>
      <c r="M22" s="212"/>
      <c r="N22" s="212">
        <v>1074</v>
      </c>
      <c r="O22" s="212">
        <v>1800</v>
      </c>
      <c r="P22" s="212">
        <v>400</v>
      </c>
      <c r="Q22" s="212">
        <v>3040</v>
      </c>
      <c r="R22" s="70">
        <v>3199</v>
      </c>
      <c r="S22" s="102"/>
      <c r="T22" s="51">
        <f t="shared" ref="T22:T61" si="11">SUM(G22:S22)</f>
        <v>11468</v>
      </c>
      <c r="U22" s="51">
        <f t="shared" si="2"/>
        <v>-7468</v>
      </c>
    </row>
    <row r="23" spans="1:21" s="52" customFormat="1" ht="12" outlineLevel="1" x14ac:dyDescent="0.2">
      <c r="A23" s="29" t="s">
        <v>52</v>
      </c>
      <c r="B23" s="41" t="s">
        <v>195</v>
      </c>
      <c r="C23" s="42">
        <f>D23/D76</f>
        <v>1.3380969585056133E-2</v>
      </c>
      <c r="D23" s="151">
        <f t="shared" si="0"/>
        <v>333.33333333333331</v>
      </c>
      <c r="E23" s="45">
        <v>4000</v>
      </c>
      <c r="F23" s="102"/>
      <c r="G23" s="70"/>
      <c r="H23" s="70"/>
      <c r="I23" s="70">
        <v>180</v>
      </c>
      <c r="J23" s="70">
        <v>1143</v>
      </c>
      <c r="K23" s="212">
        <v>2477</v>
      </c>
      <c r="L23" s="212">
        <v>1754</v>
      </c>
      <c r="M23" s="212">
        <v>8446.0400000000009</v>
      </c>
      <c r="N23" s="212">
        <v>2590.5</v>
      </c>
      <c r="O23" s="212">
        <v>1026.3</v>
      </c>
      <c r="P23" s="212">
        <v>1124</v>
      </c>
      <c r="Q23" s="212">
        <v>756</v>
      </c>
      <c r="R23" s="70">
        <v>1113</v>
      </c>
      <c r="S23" s="102"/>
      <c r="T23" s="51">
        <f t="shared" si="11"/>
        <v>20609.84</v>
      </c>
      <c r="U23" s="51">
        <f t="shared" si="2"/>
        <v>-16609.84</v>
      </c>
    </row>
    <row r="24" spans="1:21" s="52" customFormat="1" outlineLevel="1" thickBot="1" x14ac:dyDescent="0.25">
      <c r="A24" s="30" t="s">
        <v>53</v>
      </c>
      <c r="B24" s="48" t="s">
        <v>208</v>
      </c>
      <c r="C24" s="49">
        <f>D24/D76</f>
        <v>6.6904847925280666E-3</v>
      </c>
      <c r="D24" s="152">
        <f t="shared" si="0"/>
        <v>166.66666666666666</v>
      </c>
      <c r="E24" s="63">
        <v>2000</v>
      </c>
      <c r="F24" s="113"/>
      <c r="G24" s="90"/>
      <c r="H24" s="112"/>
      <c r="I24" s="90"/>
      <c r="J24" s="90">
        <v>378</v>
      </c>
      <c r="K24" s="214"/>
      <c r="L24" s="214"/>
      <c r="M24" s="214"/>
      <c r="N24" s="214">
        <v>1754</v>
      </c>
      <c r="O24" s="214">
        <v>520</v>
      </c>
      <c r="P24" s="214"/>
      <c r="Q24" s="214">
        <v>379</v>
      </c>
      <c r="R24" s="90"/>
      <c r="S24" s="113"/>
      <c r="T24" s="64">
        <f t="shared" si="11"/>
        <v>3031</v>
      </c>
      <c r="U24" s="64">
        <f t="shared" si="2"/>
        <v>-1031</v>
      </c>
    </row>
    <row r="25" spans="1:21" ht="27" customHeight="1" x14ac:dyDescent="0.2">
      <c r="A25" s="25" t="s">
        <v>111</v>
      </c>
      <c r="B25" s="8" t="s">
        <v>17</v>
      </c>
      <c r="C25" s="39">
        <f>D25/D76</f>
        <v>1.7221307855967243</v>
      </c>
      <c r="D25" s="153">
        <f t="shared" si="0"/>
        <v>42900</v>
      </c>
      <c r="E25" s="79">
        <f t="shared" ref="E25:S25" si="12">SUM(E26:E38)</f>
        <v>514800</v>
      </c>
      <c r="F25" s="101">
        <f t="shared" si="12"/>
        <v>11300</v>
      </c>
      <c r="G25" s="69">
        <f t="shared" si="12"/>
        <v>0</v>
      </c>
      <c r="H25" s="69">
        <f t="shared" si="12"/>
        <v>12200</v>
      </c>
      <c r="I25" s="69">
        <f t="shared" si="12"/>
        <v>16400</v>
      </c>
      <c r="J25" s="69">
        <f t="shared" si="12"/>
        <v>34757</v>
      </c>
      <c r="K25" s="69">
        <f t="shared" si="12"/>
        <v>17789.900000000001</v>
      </c>
      <c r="L25" s="69">
        <f t="shared" si="12"/>
        <v>22254.260000000002</v>
      </c>
      <c r="M25" s="69">
        <f t="shared" si="12"/>
        <v>19315</v>
      </c>
      <c r="N25" s="69">
        <f t="shared" si="12"/>
        <v>94000.82</v>
      </c>
      <c r="O25" s="69">
        <f t="shared" si="12"/>
        <v>52315.42</v>
      </c>
      <c r="P25" s="69">
        <f t="shared" si="12"/>
        <v>64164.75</v>
      </c>
      <c r="Q25" s="69">
        <f t="shared" si="12"/>
        <v>32315</v>
      </c>
      <c r="R25" s="69">
        <f t="shared" si="12"/>
        <v>25755.75</v>
      </c>
      <c r="S25" s="101">
        <f t="shared" si="12"/>
        <v>7400</v>
      </c>
      <c r="T25" s="104">
        <f t="shared" si="11"/>
        <v>398667.9</v>
      </c>
      <c r="U25" s="105">
        <f t="shared" si="2"/>
        <v>116132.09999999998</v>
      </c>
    </row>
    <row r="26" spans="1:21" s="52" customFormat="1" ht="12" outlineLevel="1" x14ac:dyDescent="0.2">
      <c r="A26" s="29" t="s">
        <v>56</v>
      </c>
      <c r="B26" s="138" t="s">
        <v>191</v>
      </c>
      <c r="C26" s="224">
        <f>D26/D76</f>
        <v>8.3631059906600844E-2</v>
      </c>
      <c r="D26" s="151">
        <f t="shared" si="0"/>
        <v>2083.3333333333335</v>
      </c>
      <c r="E26" s="45">
        <v>25000</v>
      </c>
      <c r="F26" s="102"/>
      <c r="G26" s="70"/>
      <c r="H26" s="70"/>
      <c r="I26" s="70"/>
      <c r="J26" s="70"/>
      <c r="K26" s="212"/>
      <c r="L26" s="212"/>
      <c r="M26" s="212"/>
      <c r="N26" s="212">
        <f>1200+21052.8</f>
        <v>22252.799999999999</v>
      </c>
      <c r="O26" s="212">
        <v>2472.42</v>
      </c>
      <c r="P26" s="212"/>
      <c r="Q26" s="212">
        <v>7530</v>
      </c>
      <c r="R26" s="70"/>
      <c r="S26" s="102"/>
      <c r="T26" s="51">
        <f t="shared" si="11"/>
        <v>32255.22</v>
      </c>
      <c r="U26" s="51">
        <f t="shared" si="2"/>
        <v>-7255.2200000000012</v>
      </c>
    </row>
    <row r="27" spans="1:21" s="52" customFormat="1" ht="12" outlineLevel="1" x14ac:dyDescent="0.2">
      <c r="A27" s="29" t="s">
        <v>57</v>
      </c>
      <c r="B27" s="136" t="s">
        <v>190</v>
      </c>
      <c r="C27" s="224">
        <f>D27/D76</f>
        <v>0.200714543775842</v>
      </c>
      <c r="D27" s="151">
        <f t="shared" si="0"/>
        <v>5000</v>
      </c>
      <c r="E27" s="45">
        <v>60000</v>
      </c>
      <c r="F27" s="102">
        <v>5000</v>
      </c>
      <c r="G27" s="70"/>
      <c r="H27" s="70">
        <v>5000</v>
      </c>
      <c r="I27" s="70">
        <v>5000</v>
      </c>
      <c r="J27" s="70">
        <v>5000</v>
      </c>
      <c r="K27" s="212">
        <v>5000</v>
      </c>
      <c r="L27" s="212">
        <v>5000</v>
      </c>
      <c r="M27" s="212">
        <v>5000</v>
      </c>
      <c r="N27" s="212">
        <v>5000</v>
      </c>
      <c r="O27" s="212">
        <v>5000</v>
      </c>
      <c r="P27" s="212">
        <v>5000</v>
      </c>
      <c r="Q27" s="212">
        <v>5000</v>
      </c>
      <c r="R27" s="70">
        <v>5000</v>
      </c>
      <c r="S27" s="102">
        <v>5000</v>
      </c>
      <c r="T27" s="119">
        <f t="shared" si="11"/>
        <v>60000</v>
      </c>
      <c r="U27" s="119">
        <f t="shared" si="2"/>
        <v>0</v>
      </c>
    </row>
    <row r="28" spans="1:21" s="52" customFormat="1" ht="12" outlineLevel="1" x14ac:dyDescent="0.2">
      <c r="A28" s="29" t="s">
        <v>58</v>
      </c>
      <c r="B28" s="223" t="s">
        <v>209</v>
      </c>
      <c r="C28" s="224">
        <f>D28/D76</f>
        <v>0.1505359078318815</v>
      </c>
      <c r="D28" s="151">
        <f t="shared" si="0"/>
        <v>3750</v>
      </c>
      <c r="E28" s="45">
        <v>45000</v>
      </c>
      <c r="F28" s="102">
        <v>3600</v>
      </c>
      <c r="G28" s="70"/>
      <c r="H28" s="70">
        <v>3000</v>
      </c>
      <c r="I28" s="70">
        <v>6000</v>
      </c>
      <c r="J28" s="70">
        <v>3000</v>
      </c>
      <c r="K28" s="212"/>
      <c r="L28" s="212"/>
      <c r="M28" s="212">
        <v>9000</v>
      </c>
      <c r="N28" s="212">
        <v>3000</v>
      </c>
      <c r="O28" s="212">
        <v>3000</v>
      </c>
      <c r="P28" s="212">
        <v>3000</v>
      </c>
      <c r="Q28" s="212">
        <v>3000</v>
      </c>
      <c r="R28" s="70">
        <v>3000</v>
      </c>
      <c r="S28" s="102"/>
      <c r="T28" s="51">
        <f t="shared" si="11"/>
        <v>36000</v>
      </c>
      <c r="U28" s="51">
        <f t="shared" si="2"/>
        <v>9000</v>
      </c>
    </row>
    <row r="29" spans="1:21" s="52" customFormat="1" ht="12" outlineLevel="1" x14ac:dyDescent="0.2">
      <c r="A29" s="29" t="s">
        <v>73</v>
      </c>
      <c r="B29" s="138" t="s">
        <v>181</v>
      </c>
      <c r="C29" s="224">
        <f>D29/D76</f>
        <v>3.3452423962640337E-2</v>
      </c>
      <c r="D29" s="151">
        <f t="shared" si="0"/>
        <v>833.33333333333337</v>
      </c>
      <c r="E29" s="45">
        <v>10000</v>
      </c>
      <c r="F29" s="102"/>
      <c r="G29" s="70"/>
      <c r="H29" s="70"/>
      <c r="I29" s="70"/>
      <c r="J29" s="70"/>
      <c r="K29" s="212"/>
      <c r="L29" s="213"/>
      <c r="M29" s="212"/>
      <c r="N29" s="212"/>
      <c r="O29" s="212">
        <f>4865.5-1417.5</f>
        <v>3448</v>
      </c>
      <c r="P29" s="212"/>
      <c r="Q29" s="212">
        <v>14610</v>
      </c>
      <c r="R29" s="70"/>
      <c r="S29" s="102"/>
      <c r="T29" s="51">
        <f t="shared" si="11"/>
        <v>18058</v>
      </c>
      <c r="U29" s="51">
        <f t="shared" si="2"/>
        <v>-8058</v>
      </c>
    </row>
    <row r="30" spans="1:21" s="52" customFormat="1" ht="12" outlineLevel="1" x14ac:dyDescent="0.2">
      <c r="A30" s="29" t="s">
        <v>75</v>
      </c>
      <c r="B30" s="138" t="s">
        <v>20</v>
      </c>
      <c r="C30" s="224">
        <f>D30/D76</f>
        <v>3.2114327004134718E-2</v>
      </c>
      <c r="D30" s="151">
        <f t="shared" si="0"/>
        <v>800</v>
      </c>
      <c r="E30" s="45">
        <v>9600</v>
      </c>
      <c r="F30" s="102"/>
      <c r="G30" s="70"/>
      <c r="H30" s="70"/>
      <c r="I30" s="70">
        <v>2400</v>
      </c>
      <c r="J30" s="70"/>
      <c r="K30" s="212"/>
      <c r="L30" s="212"/>
      <c r="M30" s="212">
        <v>2400</v>
      </c>
      <c r="N30" s="212"/>
      <c r="O30" s="212">
        <v>2400</v>
      </c>
      <c r="P30" s="212"/>
      <c r="Q30" s="212"/>
      <c r="R30" s="70"/>
      <c r="S30" s="102">
        <v>2400</v>
      </c>
      <c r="T30" s="119">
        <f t="shared" si="11"/>
        <v>9600</v>
      </c>
      <c r="U30" s="119">
        <f t="shared" si="2"/>
        <v>0</v>
      </c>
    </row>
    <row r="31" spans="1:21" s="52" customFormat="1" ht="12" outlineLevel="1" x14ac:dyDescent="0.2">
      <c r="A31" s="29" t="s">
        <v>79</v>
      </c>
      <c r="B31" s="138" t="s">
        <v>196</v>
      </c>
      <c r="C31" s="224">
        <f>D31/D76</f>
        <v>2.2078599815342621E-2</v>
      </c>
      <c r="D31" s="151">
        <f t="shared" si="0"/>
        <v>550</v>
      </c>
      <c r="E31" s="45">
        <v>6600</v>
      </c>
      <c r="F31" s="102"/>
      <c r="G31" s="70"/>
      <c r="H31" s="70"/>
      <c r="I31" s="70"/>
      <c r="J31" s="70">
        <v>2300</v>
      </c>
      <c r="K31" s="212"/>
      <c r="L31" s="212"/>
      <c r="M31" s="212"/>
      <c r="N31" s="212">
        <v>9600</v>
      </c>
      <c r="O31" s="212"/>
      <c r="P31" s="212"/>
      <c r="Q31" s="212"/>
      <c r="R31" s="70"/>
      <c r="S31" s="102"/>
      <c r="T31" s="119">
        <f t="shared" si="11"/>
        <v>11900</v>
      </c>
      <c r="U31" s="119">
        <f t="shared" si="2"/>
        <v>-5300</v>
      </c>
    </row>
    <row r="32" spans="1:21" s="52" customFormat="1" ht="12" outlineLevel="1" x14ac:dyDescent="0.2">
      <c r="A32" s="29" t="s">
        <v>82</v>
      </c>
      <c r="B32" s="138" t="s">
        <v>101</v>
      </c>
      <c r="C32" s="224">
        <f>D32/D76</f>
        <v>1.2042872626550519E-2</v>
      </c>
      <c r="D32" s="151">
        <f t="shared" si="0"/>
        <v>300</v>
      </c>
      <c r="E32" s="45">
        <v>3600</v>
      </c>
      <c r="F32" s="102"/>
      <c r="G32" s="70"/>
      <c r="H32" s="70"/>
      <c r="I32" s="70"/>
      <c r="J32" s="70"/>
      <c r="K32" s="212"/>
      <c r="L32" s="212">
        <v>1617.26</v>
      </c>
      <c r="M32" s="212"/>
      <c r="N32" s="212"/>
      <c r="O32" s="212"/>
      <c r="P32" s="212"/>
      <c r="Q32" s="212"/>
      <c r="R32" s="70"/>
      <c r="S32" s="102"/>
      <c r="T32" s="119">
        <f t="shared" si="11"/>
        <v>1617.26</v>
      </c>
      <c r="U32" s="119">
        <f t="shared" si="2"/>
        <v>1982.74</v>
      </c>
    </row>
    <row r="33" spans="1:21" s="52" customFormat="1" ht="12" outlineLevel="1" x14ac:dyDescent="0.2">
      <c r="A33" s="29" t="s">
        <v>103</v>
      </c>
      <c r="B33" s="230" t="s">
        <v>213</v>
      </c>
      <c r="C33" s="224">
        <f>D33/D76</f>
        <v>0.66904847925280675</v>
      </c>
      <c r="D33" s="151">
        <f t="shared" si="0"/>
        <v>16666.666666666668</v>
      </c>
      <c r="E33" s="232">
        <v>200000</v>
      </c>
      <c r="F33" s="102"/>
      <c r="G33" s="70"/>
      <c r="H33" s="70"/>
      <c r="I33" s="70"/>
      <c r="J33" s="70">
        <f>18780+3185</f>
        <v>21965</v>
      </c>
      <c r="K33" s="212">
        <v>450</v>
      </c>
      <c r="L33" s="212"/>
      <c r="M33" s="212"/>
      <c r="N33" s="212">
        <f>35160+7588.02</f>
        <v>42748.020000000004</v>
      </c>
      <c r="O33" s="212">
        <f>30000+1795</f>
        <v>31795</v>
      </c>
      <c r="P33" s="212">
        <f>10000+1998</f>
        <v>11998</v>
      </c>
      <c r="Q33" s="212">
        <v>675</v>
      </c>
      <c r="R33" s="70"/>
      <c r="S33" s="102"/>
      <c r="T33" s="119">
        <f t="shared" si="11"/>
        <v>109631.02</v>
      </c>
      <c r="U33" s="119">
        <f t="shared" si="2"/>
        <v>90368.98</v>
      </c>
    </row>
    <row r="34" spans="1:21" s="52" customFormat="1" ht="12" outlineLevel="1" x14ac:dyDescent="0.2">
      <c r="A34" s="29" t="s">
        <v>138</v>
      </c>
      <c r="B34" s="138" t="s">
        <v>188</v>
      </c>
      <c r="C34" s="224">
        <f>D34/D76</f>
        <v>0.2676193917011227</v>
      </c>
      <c r="D34" s="151">
        <f t="shared" si="0"/>
        <v>6666.666666666667</v>
      </c>
      <c r="E34" s="45">
        <v>80000</v>
      </c>
      <c r="F34" s="102"/>
      <c r="G34" s="70"/>
      <c r="H34" s="70"/>
      <c r="I34" s="70"/>
      <c r="J34" s="70"/>
      <c r="K34" s="212"/>
      <c r="L34" s="212"/>
      <c r="M34" s="212"/>
      <c r="N34" s="212"/>
      <c r="O34" s="212"/>
      <c r="P34" s="212">
        <v>40652.75</v>
      </c>
      <c r="Q34" s="212"/>
      <c r="R34" s="70">
        <v>11968.75</v>
      </c>
      <c r="S34" s="102"/>
      <c r="T34" s="119">
        <f t="shared" si="11"/>
        <v>52621.5</v>
      </c>
      <c r="U34" s="119">
        <f t="shared" si="2"/>
        <v>27378.5</v>
      </c>
    </row>
    <row r="35" spans="1:21" s="52" customFormat="1" ht="12" outlineLevel="1" x14ac:dyDescent="0.2">
      <c r="A35" s="29" t="s">
        <v>139</v>
      </c>
      <c r="B35" s="139" t="s">
        <v>78</v>
      </c>
      <c r="C35" s="225">
        <f>D35/D76</f>
        <v>0.100357271887921</v>
      </c>
      <c r="D35" s="151">
        <f t="shared" si="0"/>
        <v>2500</v>
      </c>
      <c r="E35" s="45">
        <v>30000</v>
      </c>
      <c r="F35" s="102">
        <v>2700</v>
      </c>
      <c r="G35" s="70"/>
      <c r="H35" s="70">
        <v>900</v>
      </c>
      <c r="I35" s="70">
        <v>3000</v>
      </c>
      <c r="J35" s="70">
        <v>2492</v>
      </c>
      <c r="K35" s="212">
        <f>900+189.9</f>
        <v>1089.9000000000001</v>
      </c>
      <c r="L35" s="212">
        <v>1400</v>
      </c>
      <c r="M35" s="212">
        <v>1655</v>
      </c>
      <c r="N35" s="212">
        <v>1400</v>
      </c>
      <c r="O35" s="212">
        <v>1900</v>
      </c>
      <c r="P35" s="212">
        <f>2600+914</f>
        <v>3514</v>
      </c>
      <c r="Q35" s="212">
        <v>1500</v>
      </c>
      <c r="R35" s="70">
        <v>5787</v>
      </c>
      <c r="S35" s="102"/>
      <c r="T35" s="119">
        <f t="shared" si="11"/>
        <v>24637.9</v>
      </c>
      <c r="U35" s="119">
        <f t="shared" si="2"/>
        <v>5362.0999999999985</v>
      </c>
    </row>
    <row r="36" spans="1:21" s="52" customFormat="1" ht="12" outlineLevel="1" x14ac:dyDescent="0.2">
      <c r="A36" s="29" t="s">
        <v>140</v>
      </c>
      <c r="B36" s="139" t="s">
        <v>200</v>
      </c>
      <c r="C36" s="224">
        <f>D36/D76</f>
        <v>3.3452423962640337E-2</v>
      </c>
      <c r="D36" s="228">
        <f t="shared" si="0"/>
        <v>833.33333333333337</v>
      </c>
      <c r="E36" s="45">
        <v>10000</v>
      </c>
      <c r="F36" s="113"/>
      <c r="G36" s="90"/>
      <c r="H36" s="90"/>
      <c r="I36" s="90"/>
      <c r="J36" s="90"/>
      <c r="K36" s="214"/>
      <c r="L36" s="212">
        <v>2987</v>
      </c>
      <c r="M36" s="214">
        <v>1260</v>
      </c>
      <c r="N36" s="214">
        <v>5000</v>
      </c>
      <c r="O36" s="214">
        <v>2300</v>
      </c>
      <c r="P36" s="214"/>
      <c r="Q36" s="214"/>
      <c r="R36" s="90"/>
      <c r="S36" s="113"/>
      <c r="T36" s="119">
        <f t="shared" si="11"/>
        <v>11547</v>
      </c>
      <c r="U36" s="51">
        <f t="shared" si="2"/>
        <v>-1547</v>
      </c>
    </row>
    <row r="37" spans="1:21" s="52" customFormat="1" ht="12" outlineLevel="1" x14ac:dyDescent="0.2">
      <c r="A37" s="29" t="s">
        <v>141</v>
      </c>
      <c r="B37" s="138" t="s">
        <v>180</v>
      </c>
      <c r="C37" s="226">
        <f>D37/D76</f>
        <v>3.3452423962640337E-2</v>
      </c>
      <c r="D37" s="151">
        <f t="shared" si="0"/>
        <v>833.33333333333337</v>
      </c>
      <c r="E37" s="45">
        <v>10000</v>
      </c>
      <c r="F37" s="113"/>
      <c r="G37" s="90"/>
      <c r="H37" s="90">
        <v>3300</v>
      </c>
      <c r="I37" s="90"/>
      <c r="J37" s="90"/>
      <c r="K37" s="214"/>
      <c r="L37" s="212"/>
      <c r="M37" s="214"/>
      <c r="N37" s="214"/>
      <c r="O37" s="214"/>
      <c r="P37" s="214"/>
      <c r="Q37" s="214"/>
      <c r="R37" s="90"/>
      <c r="S37" s="113"/>
      <c r="T37" s="119">
        <f t="shared" si="11"/>
        <v>3300</v>
      </c>
      <c r="U37" s="119">
        <f t="shared" si="2"/>
        <v>6700</v>
      </c>
    </row>
    <row r="38" spans="1:21" s="52" customFormat="1" outlineLevel="1" thickBot="1" x14ac:dyDescent="0.25">
      <c r="A38" s="29" t="s">
        <v>142</v>
      </c>
      <c r="B38" s="136" t="s">
        <v>201</v>
      </c>
      <c r="C38" s="227">
        <f>D38/D76</f>
        <v>8.3631059906600844E-2</v>
      </c>
      <c r="D38" s="154">
        <f t="shared" si="0"/>
        <v>2083.3333333333335</v>
      </c>
      <c r="E38" s="45">
        <v>25000</v>
      </c>
      <c r="F38" s="113"/>
      <c r="G38" s="90"/>
      <c r="H38" s="90"/>
      <c r="I38" s="90"/>
      <c r="J38" s="90"/>
      <c r="K38" s="214">
        <v>11250</v>
      </c>
      <c r="L38" s="212">
        <v>11250</v>
      </c>
      <c r="M38" s="214"/>
      <c r="N38" s="214">
        <v>5000</v>
      </c>
      <c r="O38" s="214"/>
      <c r="P38" s="214"/>
      <c r="Q38" s="214"/>
      <c r="R38" s="90"/>
      <c r="S38" s="113"/>
      <c r="T38" s="233">
        <f t="shared" si="11"/>
        <v>27500</v>
      </c>
      <c r="U38" s="119">
        <f t="shared" si="2"/>
        <v>-2500</v>
      </c>
    </row>
    <row r="39" spans="1:21" x14ac:dyDescent="0.2">
      <c r="A39" s="25" t="s">
        <v>112</v>
      </c>
      <c r="B39" s="7" t="s">
        <v>102</v>
      </c>
      <c r="C39" s="35">
        <f>D39/D76</f>
        <v>0.51516732902466111</v>
      </c>
      <c r="D39" s="150">
        <f t="shared" ref="D39:D74" si="13">E39/12</f>
        <v>12833.333333333334</v>
      </c>
      <c r="E39" s="62">
        <f>SUM(E40:E46)</f>
        <v>154000</v>
      </c>
      <c r="F39" s="68">
        <f t="shared" ref="F39" si="14">SUM(F40:F46)</f>
        <v>650</v>
      </c>
      <c r="G39" s="68">
        <f t="shared" ref="G39:S39" si="15">SUM(G40:G46)</f>
        <v>1578.25</v>
      </c>
      <c r="H39" s="68">
        <f t="shared" si="15"/>
        <v>1090</v>
      </c>
      <c r="I39" s="68">
        <f t="shared" si="15"/>
        <v>1927.62</v>
      </c>
      <c r="J39" s="68">
        <f t="shared" si="15"/>
        <v>37370</v>
      </c>
      <c r="K39" s="68">
        <f t="shared" si="15"/>
        <v>1047.6300000000001</v>
      </c>
      <c r="L39" s="68">
        <f t="shared" si="15"/>
        <v>889</v>
      </c>
      <c r="M39" s="68">
        <f t="shared" si="15"/>
        <v>21811.64</v>
      </c>
      <c r="N39" s="68">
        <f t="shared" si="15"/>
        <v>54189.380000000005</v>
      </c>
      <c r="O39" s="68">
        <f t="shared" si="15"/>
        <v>22062.18</v>
      </c>
      <c r="P39" s="68">
        <f t="shared" si="15"/>
        <v>2068</v>
      </c>
      <c r="Q39" s="68">
        <f t="shared" si="15"/>
        <v>5121</v>
      </c>
      <c r="R39" s="68">
        <f t="shared" si="15"/>
        <v>0</v>
      </c>
      <c r="S39" s="68">
        <f t="shared" si="15"/>
        <v>0</v>
      </c>
      <c r="T39" s="134">
        <f t="shared" si="11"/>
        <v>149154.70000000001</v>
      </c>
      <c r="U39" s="134">
        <f t="shared" si="2"/>
        <v>4845.2999999999884</v>
      </c>
    </row>
    <row r="40" spans="1:21" s="52" customFormat="1" ht="12" outlineLevel="1" x14ac:dyDescent="0.2">
      <c r="A40" s="29" t="s">
        <v>59</v>
      </c>
      <c r="B40" s="41" t="s">
        <v>80</v>
      </c>
      <c r="C40" s="42">
        <f>D40/D76</f>
        <v>0.1505359078318815</v>
      </c>
      <c r="D40" s="151">
        <f t="shared" si="13"/>
        <v>3750</v>
      </c>
      <c r="E40" s="45">
        <v>45000</v>
      </c>
      <c r="F40" s="102"/>
      <c r="G40" s="70"/>
      <c r="H40" s="70"/>
      <c r="I40" s="70">
        <v>449.12</v>
      </c>
      <c r="J40" s="70"/>
      <c r="K40" s="212">
        <v>533.63</v>
      </c>
      <c r="L40" s="212"/>
      <c r="M40" s="212"/>
      <c r="N40" s="212">
        <f>22902.61+17504</f>
        <v>40406.61</v>
      </c>
      <c r="O40" s="212">
        <f>1609.2+8417</f>
        <v>10026.200000000001</v>
      </c>
      <c r="P40" s="212">
        <v>918</v>
      </c>
      <c r="Q40" s="212"/>
      <c r="R40" s="70"/>
      <c r="S40" s="102"/>
      <c r="T40" s="119">
        <f t="shared" si="11"/>
        <v>52333.56</v>
      </c>
      <c r="U40" s="119">
        <f t="shared" si="2"/>
        <v>-7333.5599999999977</v>
      </c>
    </row>
    <row r="41" spans="1:21" s="52" customFormat="1" ht="12" outlineLevel="1" x14ac:dyDescent="0.2">
      <c r="A41" s="29" t="s">
        <v>60</v>
      </c>
      <c r="B41" s="41" t="s">
        <v>179</v>
      </c>
      <c r="C41" s="42">
        <f>D41/D76</f>
        <v>1.6726211981320169E-2</v>
      </c>
      <c r="D41" s="151">
        <f t="shared" si="13"/>
        <v>416.66666666666669</v>
      </c>
      <c r="E41" s="45">
        <v>5000</v>
      </c>
      <c r="F41" s="102"/>
      <c r="G41" s="70">
        <v>100.25</v>
      </c>
      <c r="H41" s="70">
        <v>1090</v>
      </c>
      <c r="I41" s="84">
        <v>49.5</v>
      </c>
      <c r="J41" s="70"/>
      <c r="K41" s="215">
        <v>155</v>
      </c>
      <c r="L41" s="212"/>
      <c r="M41" s="215">
        <v>1485</v>
      </c>
      <c r="N41" s="212">
        <v>1117</v>
      </c>
      <c r="O41" s="215">
        <f>7800+760</f>
        <v>8560</v>
      </c>
      <c r="P41" s="212">
        <v>1150</v>
      </c>
      <c r="Q41" s="215">
        <v>128</v>
      </c>
      <c r="R41" s="70"/>
      <c r="S41" s="102"/>
      <c r="T41" s="119">
        <f t="shared" si="11"/>
        <v>13834.75</v>
      </c>
      <c r="U41" s="119">
        <f t="shared" si="2"/>
        <v>-8834.75</v>
      </c>
    </row>
    <row r="42" spans="1:21" s="52" customFormat="1" ht="12" outlineLevel="1" x14ac:dyDescent="0.2">
      <c r="A42" s="29" t="s">
        <v>61</v>
      </c>
      <c r="B42" s="41" t="s">
        <v>193</v>
      </c>
      <c r="C42" s="42">
        <f>D42/D76</f>
        <v>0</v>
      </c>
      <c r="D42" s="151">
        <f t="shared" si="13"/>
        <v>0</v>
      </c>
      <c r="E42" s="45">
        <v>0</v>
      </c>
      <c r="F42" s="102"/>
      <c r="G42" s="70">
        <v>955</v>
      </c>
      <c r="H42" s="70"/>
      <c r="I42" s="70"/>
      <c r="J42" s="70"/>
      <c r="K42" s="212"/>
      <c r="L42" s="212"/>
      <c r="M42" s="212"/>
      <c r="N42" s="212"/>
      <c r="O42" s="212"/>
      <c r="P42" s="212"/>
      <c r="Q42" s="212"/>
      <c r="R42" s="70"/>
      <c r="S42" s="102"/>
      <c r="T42" s="119">
        <f t="shared" si="11"/>
        <v>955</v>
      </c>
      <c r="U42" s="119">
        <f t="shared" si="2"/>
        <v>-955</v>
      </c>
    </row>
    <row r="43" spans="1:21" s="52" customFormat="1" ht="12" outlineLevel="1" x14ac:dyDescent="0.2">
      <c r="A43" s="29" t="s">
        <v>62</v>
      </c>
      <c r="B43" s="41" t="s">
        <v>25</v>
      </c>
      <c r="C43" s="42">
        <f>D43/D76</f>
        <v>1.00357271887921E-2</v>
      </c>
      <c r="D43" s="151">
        <f t="shared" si="13"/>
        <v>250</v>
      </c>
      <c r="E43" s="45">
        <v>3000</v>
      </c>
      <c r="F43" s="102"/>
      <c r="G43" s="70"/>
      <c r="H43" s="70"/>
      <c r="I43" s="70"/>
      <c r="J43" s="70">
        <v>6800</v>
      </c>
      <c r="K43" s="212"/>
      <c r="L43" s="212"/>
      <c r="M43" s="212"/>
      <c r="N43" s="212"/>
      <c r="O43" s="212"/>
      <c r="P43" s="212"/>
      <c r="Q43" s="212"/>
      <c r="R43" s="70"/>
      <c r="S43" s="102"/>
      <c r="T43" s="119">
        <f t="shared" si="11"/>
        <v>6800</v>
      </c>
      <c r="U43" s="119">
        <f t="shared" si="2"/>
        <v>-3800</v>
      </c>
    </row>
    <row r="44" spans="1:21" s="52" customFormat="1" ht="12" outlineLevel="1" x14ac:dyDescent="0.2">
      <c r="A44" s="29" t="s">
        <v>63</v>
      </c>
      <c r="B44" s="65" t="s">
        <v>76</v>
      </c>
      <c r="C44" s="42">
        <f>D44/D76</f>
        <v>1.3380969585056133E-2</v>
      </c>
      <c r="D44" s="151">
        <f t="shared" si="13"/>
        <v>333.33333333333331</v>
      </c>
      <c r="E44" s="45">
        <v>4000</v>
      </c>
      <c r="F44" s="102"/>
      <c r="G44" s="70"/>
      <c r="H44" s="70"/>
      <c r="I44" s="70"/>
      <c r="J44" s="70"/>
      <c r="K44" s="212"/>
      <c r="L44" s="212"/>
      <c r="M44" s="212"/>
      <c r="N44" s="212"/>
      <c r="O44" s="212"/>
      <c r="P44" s="212"/>
      <c r="Q44" s="212"/>
      <c r="R44" s="70"/>
      <c r="S44" s="102"/>
      <c r="T44" s="119">
        <f t="shared" si="11"/>
        <v>0</v>
      </c>
      <c r="U44" s="119">
        <f t="shared" si="2"/>
        <v>4000</v>
      </c>
    </row>
    <row r="45" spans="1:21" s="52" customFormat="1" ht="12" outlineLevel="1" x14ac:dyDescent="0.2">
      <c r="A45" s="29" t="s">
        <v>64</v>
      </c>
      <c r="B45" s="41" t="s">
        <v>182</v>
      </c>
      <c r="C45" s="42">
        <f>D45/D76</f>
        <v>0.30107181566376301</v>
      </c>
      <c r="D45" s="151">
        <f>E45/12</f>
        <v>7500</v>
      </c>
      <c r="E45" s="45">
        <v>90000</v>
      </c>
      <c r="F45" s="124">
        <v>650</v>
      </c>
      <c r="G45" s="70">
        <v>523</v>
      </c>
      <c r="H45" s="70"/>
      <c r="I45" s="70">
        <v>1429</v>
      </c>
      <c r="J45" s="70">
        <v>26770</v>
      </c>
      <c r="K45" s="212">
        <v>359</v>
      </c>
      <c r="L45" s="212">
        <v>889</v>
      </c>
      <c r="M45" s="212">
        <v>20326.64</v>
      </c>
      <c r="N45" s="212">
        <v>12665.77</v>
      </c>
      <c r="O45" s="214">
        <f>2058.48+1417.5</f>
        <v>3475.98</v>
      </c>
      <c r="P45" s="212"/>
      <c r="Q45" s="214">
        <v>493</v>
      </c>
      <c r="R45" s="70"/>
      <c r="S45" s="124"/>
      <c r="T45" s="119">
        <f t="shared" si="11"/>
        <v>66931.39</v>
      </c>
      <c r="U45" s="119">
        <f t="shared" si="2"/>
        <v>23068.61</v>
      </c>
    </row>
    <row r="46" spans="1:21" s="52" customFormat="1" outlineLevel="1" thickBot="1" x14ac:dyDescent="0.25">
      <c r="A46" s="141" t="s">
        <v>65</v>
      </c>
      <c r="B46" s="142" t="s">
        <v>183</v>
      </c>
      <c r="C46" s="135">
        <f>D46/D76</f>
        <v>2.3416696773848236E-2</v>
      </c>
      <c r="D46" s="155">
        <f>E46/12</f>
        <v>583.33333333333337</v>
      </c>
      <c r="E46" s="80">
        <v>7000</v>
      </c>
      <c r="F46" s="102"/>
      <c r="G46" s="70"/>
      <c r="H46" s="70"/>
      <c r="I46" s="70"/>
      <c r="J46" s="70">
        <v>3800</v>
      </c>
      <c r="K46" s="212"/>
      <c r="L46" s="212"/>
      <c r="M46" s="212"/>
      <c r="N46" s="212"/>
      <c r="O46" s="212"/>
      <c r="P46" s="212"/>
      <c r="Q46" s="212">
        <v>4500</v>
      </c>
      <c r="R46" s="70"/>
      <c r="S46" s="102"/>
      <c r="T46" s="234">
        <f t="shared" si="11"/>
        <v>8300</v>
      </c>
      <c r="U46" s="119">
        <f t="shared" si="2"/>
        <v>-1300</v>
      </c>
    </row>
    <row r="47" spans="1:21" x14ac:dyDescent="0.2">
      <c r="A47" s="25" t="s">
        <v>113</v>
      </c>
      <c r="B47" s="137" t="s">
        <v>127</v>
      </c>
      <c r="C47" s="143">
        <f>D47/D76</f>
        <v>1.3380969585056135</v>
      </c>
      <c r="D47" s="156">
        <f t="shared" si="13"/>
        <v>33333.333333333336</v>
      </c>
      <c r="E47" s="161">
        <f t="shared" ref="E47:S47" si="16">SUM(E48:E60)</f>
        <v>400000</v>
      </c>
      <c r="F47" s="103">
        <f t="shared" si="16"/>
        <v>16500</v>
      </c>
      <c r="G47" s="68">
        <f t="shared" si="16"/>
        <v>0</v>
      </c>
      <c r="H47" s="68">
        <f t="shared" si="16"/>
        <v>7500</v>
      </c>
      <c r="I47" s="68">
        <f t="shared" si="16"/>
        <v>33750</v>
      </c>
      <c r="J47" s="68">
        <f t="shared" si="16"/>
        <v>21240</v>
      </c>
      <c r="K47" s="68">
        <f t="shared" si="16"/>
        <v>104629.46</v>
      </c>
      <c r="L47" s="68">
        <f t="shared" si="16"/>
        <v>0</v>
      </c>
      <c r="M47" s="68">
        <f t="shared" si="16"/>
        <v>11800</v>
      </c>
      <c r="N47" s="68">
        <f t="shared" si="16"/>
        <v>50820.2</v>
      </c>
      <c r="O47" s="68">
        <f t="shared" si="16"/>
        <v>93527.3</v>
      </c>
      <c r="P47" s="68">
        <f t="shared" si="16"/>
        <v>37153</v>
      </c>
      <c r="Q47" s="68">
        <f t="shared" si="16"/>
        <v>0</v>
      </c>
      <c r="R47" s="68">
        <f t="shared" si="16"/>
        <v>12700</v>
      </c>
      <c r="S47" s="103">
        <f t="shared" si="16"/>
        <v>0</v>
      </c>
      <c r="T47" s="134">
        <f t="shared" si="11"/>
        <v>373119.96</v>
      </c>
      <c r="U47" s="134">
        <f t="shared" si="2"/>
        <v>26880.039999999979</v>
      </c>
    </row>
    <row r="48" spans="1:21" s="52" customFormat="1" ht="12" outlineLevel="1" x14ac:dyDescent="0.2">
      <c r="A48" s="29" t="s">
        <v>143</v>
      </c>
      <c r="B48" s="138" t="s">
        <v>185</v>
      </c>
      <c r="C48" s="125">
        <f>D48/D76</f>
        <v>0.11708348386924115</v>
      </c>
      <c r="D48" s="154">
        <f t="shared" si="13"/>
        <v>2916.6666666666665</v>
      </c>
      <c r="E48" s="162">
        <v>35000</v>
      </c>
      <c r="F48" s="102"/>
      <c r="G48" s="70"/>
      <c r="H48" s="70"/>
      <c r="I48" s="70"/>
      <c r="J48" s="70"/>
      <c r="K48" s="213"/>
      <c r="L48" s="212"/>
      <c r="M48" s="212"/>
      <c r="N48" s="212"/>
      <c r="O48" s="213"/>
      <c r="P48" s="212">
        <f>3845+13500</f>
        <v>17345</v>
      </c>
      <c r="Q48" s="212"/>
      <c r="R48" s="70">
        <v>12700</v>
      </c>
      <c r="S48" s="102"/>
      <c r="T48" s="119">
        <f t="shared" si="11"/>
        <v>30045</v>
      </c>
      <c r="U48" s="119">
        <f t="shared" si="2"/>
        <v>4955</v>
      </c>
    </row>
    <row r="49" spans="1:21" s="52" customFormat="1" ht="12" outlineLevel="1" x14ac:dyDescent="0.2">
      <c r="A49" s="29" t="s">
        <v>144</v>
      </c>
      <c r="B49" s="139" t="s">
        <v>184</v>
      </c>
      <c r="C49" s="125">
        <f>D49/D76</f>
        <v>0.2676193917011227</v>
      </c>
      <c r="D49" s="154">
        <f t="shared" si="13"/>
        <v>6666.666666666667</v>
      </c>
      <c r="E49" s="162">
        <v>80000</v>
      </c>
      <c r="F49" s="102"/>
      <c r="G49" s="70"/>
      <c r="H49" s="70"/>
      <c r="I49" s="70"/>
      <c r="J49" s="70"/>
      <c r="K49" s="212"/>
      <c r="L49" s="212"/>
      <c r="M49" s="212"/>
      <c r="N49" s="212"/>
      <c r="O49" s="212"/>
      <c r="P49" s="212"/>
      <c r="Q49" s="212"/>
      <c r="R49" s="70"/>
      <c r="S49" s="102"/>
      <c r="T49" s="119">
        <f t="shared" si="11"/>
        <v>0</v>
      </c>
      <c r="U49" s="119">
        <f t="shared" si="2"/>
        <v>80000</v>
      </c>
    </row>
    <row r="50" spans="1:21" s="52" customFormat="1" ht="12" outlineLevel="1" x14ac:dyDescent="0.2">
      <c r="A50" s="29" t="s">
        <v>145</v>
      </c>
      <c r="B50" s="139" t="s">
        <v>210</v>
      </c>
      <c r="C50" s="125">
        <f>D50/D76</f>
        <v>4.0142908755168398E-2</v>
      </c>
      <c r="D50" s="154">
        <f t="shared" si="13"/>
        <v>1000</v>
      </c>
      <c r="E50" s="162">
        <v>12000</v>
      </c>
      <c r="F50" s="102"/>
      <c r="G50" s="70"/>
      <c r="H50" s="70"/>
      <c r="I50" s="70"/>
      <c r="J50" s="70"/>
      <c r="K50" s="212"/>
      <c r="L50" s="212"/>
      <c r="M50" s="212"/>
      <c r="N50" s="212"/>
      <c r="O50" s="212"/>
      <c r="P50" s="212"/>
      <c r="Q50" s="212"/>
      <c r="R50" s="70"/>
      <c r="S50" s="102"/>
      <c r="T50" s="119">
        <f t="shared" si="11"/>
        <v>0</v>
      </c>
      <c r="U50" s="119">
        <f t="shared" si="2"/>
        <v>12000</v>
      </c>
    </row>
    <row r="51" spans="1:21" s="52" customFormat="1" ht="12" outlineLevel="1" x14ac:dyDescent="0.2">
      <c r="A51" s="29" t="s">
        <v>146</v>
      </c>
      <c r="B51" s="138" t="s">
        <v>125</v>
      </c>
      <c r="C51" s="125">
        <f>D51/D76</f>
        <v>6.6904847925280675E-2</v>
      </c>
      <c r="D51" s="154">
        <f t="shared" si="13"/>
        <v>1666.6666666666667</v>
      </c>
      <c r="E51" s="162">
        <v>20000</v>
      </c>
      <c r="F51" s="102"/>
      <c r="G51" s="70"/>
      <c r="H51" s="70"/>
      <c r="I51" s="70"/>
      <c r="J51" s="70"/>
      <c r="K51" s="212"/>
      <c r="L51" s="212"/>
      <c r="M51" s="212"/>
      <c r="N51" s="212"/>
      <c r="O51" s="212">
        <v>347.5</v>
      </c>
      <c r="P51" s="212">
        <v>1400</v>
      </c>
      <c r="Q51" s="212"/>
      <c r="R51" s="70"/>
      <c r="S51" s="102"/>
      <c r="T51" s="119">
        <f t="shared" si="11"/>
        <v>1747.5</v>
      </c>
      <c r="U51" s="119">
        <f t="shared" si="2"/>
        <v>18252.5</v>
      </c>
    </row>
    <row r="52" spans="1:21" s="52" customFormat="1" ht="12" outlineLevel="1" x14ac:dyDescent="0.2">
      <c r="A52" s="29" t="s">
        <v>147</v>
      </c>
      <c r="B52" s="139" t="s">
        <v>186</v>
      </c>
      <c r="C52" s="125">
        <f>D52/D76</f>
        <v>1.6726211981320169E-2</v>
      </c>
      <c r="D52" s="154">
        <f t="shared" si="13"/>
        <v>416.66666666666669</v>
      </c>
      <c r="E52" s="162">
        <v>5000</v>
      </c>
      <c r="F52" s="102"/>
      <c r="G52" s="70"/>
      <c r="H52" s="70"/>
      <c r="I52" s="70"/>
      <c r="J52" s="70"/>
      <c r="K52" s="212"/>
      <c r="L52" s="212"/>
      <c r="M52" s="212"/>
      <c r="N52" s="212"/>
      <c r="O52" s="212"/>
      <c r="P52" s="212"/>
      <c r="Q52" s="212"/>
      <c r="R52" s="70"/>
      <c r="S52" s="102"/>
      <c r="T52" s="119">
        <f t="shared" si="11"/>
        <v>0</v>
      </c>
      <c r="U52" s="119">
        <f t="shared" si="2"/>
        <v>5000</v>
      </c>
    </row>
    <row r="53" spans="1:21" s="52" customFormat="1" ht="12" outlineLevel="1" x14ac:dyDescent="0.2">
      <c r="A53" s="29" t="s">
        <v>148</v>
      </c>
      <c r="B53" s="229" t="s">
        <v>128</v>
      </c>
      <c r="C53" s="125">
        <f>D53/D76</f>
        <v>0.40142908755168399</v>
      </c>
      <c r="D53" s="154">
        <f t="shared" si="13"/>
        <v>10000</v>
      </c>
      <c r="E53" s="231">
        <v>120000</v>
      </c>
      <c r="F53" s="102"/>
      <c r="G53" s="70"/>
      <c r="H53" s="70"/>
      <c r="I53" s="70"/>
      <c r="J53" s="70"/>
      <c r="K53" s="212"/>
      <c r="L53" s="212"/>
      <c r="M53" s="212"/>
      <c r="N53" s="212">
        <v>50820.2</v>
      </c>
      <c r="O53" s="212">
        <v>93179.8</v>
      </c>
      <c r="P53" s="212"/>
      <c r="Q53" s="212"/>
      <c r="R53" s="70"/>
      <c r="S53" s="102"/>
      <c r="T53" s="119">
        <f t="shared" si="11"/>
        <v>144000</v>
      </c>
      <c r="U53" s="119">
        <f t="shared" si="2"/>
        <v>-24000</v>
      </c>
    </row>
    <row r="54" spans="1:21" s="52" customFormat="1" ht="12" outlineLevel="1" x14ac:dyDescent="0.2">
      <c r="A54" s="29" t="s">
        <v>149</v>
      </c>
      <c r="B54" s="138" t="s">
        <v>74</v>
      </c>
      <c r="C54" s="125">
        <f>D54/D76</f>
        <v>1.3380969585056133E-2</v>
      </c>
      <c r="D54" s="154">
        <f t="shared" si="13"/>
        <v>333.33333333333331</v>
      </c>
      <c r="E54" s="162">
        <v>4000</v>
      </c>
      <c r="F54" s="102"/>
      <c r="G54" s="70"/>
      <c r="H54" s="70"/>
      <c r="I54" s="70"/>
      <c r="J54" s="70"/>
      <c r="K54" s="212"/>
      <c r="L54" s="212"/>
      <c r="M54" s="212"/>
      <c r="N54" s="212"/>
      <c r="O54" s="212"/>
      <c r="P54" s="212"/>
      <c r="Q54" s="212"/>
      <c r="R54" s="70"/>
      <c r="S54" s="102"/>
      <c r="T54" s="119">
        <f t="shared" si="11"/>
        <v>0</v>
      </c>
      <c r="U54" s="119">
        <f t="shared" si="2"/>
        <v>4000</v>
      </c>
    </row>
    <row r="55" spans="1:21" s="52" customFormat="1" ht="12" outlineLevel="1" x14ac:dyDescent="0.2">
      <c r="A55" s="29" t="s">
        <v>150</v>
      </c>
      <c r="B55" s="202" t="s">
        <v>192</v>
      </c>
      <c r="C55" s="125">
        <f>D55/D76</f>
        <v>0.21409551336089813</v>
      </c>
      <c r="D55" s="154">
        <f t="shared" si="13"/>
        <v>5333.333333333333</v>
      </c>
      <c r="E55" s="162">
        <v>64000</v>
      </c>
      <c r="F55" s="102">
        <v>16500</v>
      </c>
      <c r="G55" s="70"/>
      <c r="H55" s="70">
        <v>7500</v>
      </c>
      <c r="I55" s="70">
        <v>33750</v>
      </c>
      <c r="J55" s="70">
        <v>4500</v>
      </c>
      <c r="K55" s="212"/>
      <c r="L55" s="212"/>
      <c r="M55" s="212">
        <v>11800</v>
      </c>
      <c r="N55" s="212"/>
      <c r="O55" s="212"/>
      <c r="P55" s="212"/>
      <c r="Q55" s="212"/>
      <c r="R55" s="70"/>
      <c r="S55" s="102"/>
      <c r="T55" s="119">
        <f t="shared" si="11"/>
        <v>57550</v>
      </c>
      <c r="U55" s="119">
        <f t="shared" si="2"/>
        <v>6450</v>
      </c>
    </row>
    <row r="56" spans="1:21" s="52" customFormat="1" ht="12" outlineLevel="1" x14ac:dyDescent="0.2">
      <c r="A56" s="29" t="s">
        <v>151</v>
      </c>
      <c r="B56" s="144" t="s">
        <v>163</v>
      </c>
      <c r="C56" s="125">
        <f>D56/D76</f>
        <v>1.00357271887921E-2</v>
      </c>
      <c r="D56" s="154">
        <f t="shared" si="13"/>
        <v>250</v>
      </c>
      <c r="E56" s="162">
        <v>3000</v>
      </c>
      <c r="F56" s="102"/>
      <c r="G56" s="70"/>
      <c r="H56" s="70"/>
      <c r="I56" s="70"/>
      <c r="J56" s="70"/>
      <c r="K56" s="212"/>
      <c r="L56" s="212"/>
      <c r="M56" s="212"/>
      <c r="N56" s="213"/>
      <c r="O56" s="212"/>
      <c r="P56" s="212"/>
      <c r="Q56" s="212"/>
      <c r="R56" s="70"/>
      <c r="S56" s="102"/>
      <c r="T56" s="119">
        <f t="shared" si="11"/>
        <v>0</v>
      </c>
      <c r="U56" s="119">
        <f t="shared" si="2"/>
        <v>3000</v>
      </c>
    </row>
    <row r="57" spans="1:21" s="52" customFormat="1" ht="12" outlineLevel="1" x14ac:dyDescent="0.2">
      <c r="A57" s="29" t="s">
        <v>152</v>
      </c>
      <c r="B57" s="138" t="s">
        <v>204</v>
      </c>
      <c r="C57" s="125">
        <f>D57/D76</f>
        <v>8.0285817510336796E-2</v>
      </c>
      <c r="D57" s="154">
        <f t="shared" si="13"/>
        <v>2000</v>
      </c>
      <c r="E57" s="162">
        <v>24000</v>
      </c>
      <c r="F57" s="102"/>
      <c r="G57" s="70"/>
      <c r="H57" s="70"/>
      <c r="I57" s="70"/>
      <c r="J57" s="70">
        <f>12240+4500</f>
        <v>16740</v>
      </c>
      <c r="K57" s="212"/>
      <c r="L57" s="212"/>
      <c r="M57" s="212"/>
      <c r="N57" s="212"/>
      <c r="O57" s="212"/>
      <c r="P57" s="212">
        <v>7008</v>
      </c>
      <c r="Q57" s="212"/>
      <c r="R57" s="70"/>
      <c r="S57" s="102"/>
      <c r="T57" s="119">
        <f t="shared" si="11"/>
        <v>23748</v>
      </c>
      <c r="U57" s="119">
        <f t="shared" si="2"/>
        <v>252</v>
      </c>
    </row>
    <row r="58" spans="1:21" s="52" customFormat="1" ht="12" outlineLevel="1" x14ac:dyDescent="0.2">
      <c r="A58" s="29" t="s">
        <v>153</v>
      </c>
      <c r="B58" s="144" t="s">
        <v>187</v>
      </c>
      <c r="C58" s="125">
        <f>D58/D76</f>
        <v>1.00357271887921E-2</v>
      </c>
      <c r="D58" s="157">
        <f t="shared" ref="D58:D60" si="17">E58/12</f>
        <v>250</v>
      </c>
      <c r="E58" s="163">
        <v>3000</v>
      </c>
      <c r="F58" s="102"/>
      <c r="G58" s="70"/>
      <c r="H58" s="70"/>
      <c r="I58" s="70"/>
      <c r="J58" s="70"/>
      <c r="K58" s="212">
        <v>629.46</v>
      </c>
      <c r="L58" s="212"/>
      <c r="M58" s="212"/>
      <c r="N58" s="212"/>
      <c r="O58" s="212"/>
      <c r="P58" s="212">
        <v>36</v>
      </c>
      <c r="Q58" s="212"/>
      <c r="R58" s="70"/>
      <c r="S58" s="102"/>
      <c r="T58" s="119">
        <f t="shared" si="11"/>
        <v>665.46</v>
      </c>
      <c r="U58" s="119">
        <f t="shared" si="2"/>
        <v>2334.54</v>
      </c>
    </row>
    <row r="59" spans="1:21" s="52" customFormat="1" ht="12" outlineLevel="1" x14ac:dyDescent="0.2">
      <c r="A59" s="29" t="s">
        <v>154</v>
      </c>
      <c r="B59" s="140" t="s">
        <v>197</v>
      </c>
      <c r="C59" s="125">
        <f>D59/D76</f>
        <v>0.100357271887921</v>
      </c>
      <c r="D59" s="157">
        <f t="shared" si="17"/>
        <v>2500</v>
      </c>
      <c r="E59" s="163">
        <v>30000</v>
      </c>
      <c r="F59" s="113"/>
      <c r="G59" s="90"/>
      <c r="H59" s="88"/>
      <c r="I59" s="70"/>
      <c r="J59" s="90"/>
      <c r="K59" s="214">
        <v>104000</v>
      </c>
      <c r="L59" s="214"/>
      <c r="M59" s="214"/>
      <c r="N59" s="214"/>
      <c r="O59" s="214"/>
      <c r="P59" s="214">
        <v>11364</v>
      </c>
      <c r="Q59" s="214"/>
      <c r="R59" s="90"/>
      <c r="S59" s="113"/>
      <c r="T59" s="119">
        <f t="shared" si="11"/>
        <v>115364</v>
      </c>
      <c r="U59" s="119">
        <f t="shared" si="2"/>
        <v>-85364</v>
      </c>
    </row>
    <row r="60" spans="1:21" s="52" customFormat="1" outlineLevel="1" thickBot="1" x14ac:dyDescent="0.25">
      <c r="A60" s="29" t="s">
        <v>155</v>
      </c>
      <c r="B60" s="136" t="s">
        <v>24</v>
      </c>
      <c r="C60" s="125">
        <f>D60/D76</f>
        <v>0</v>
      </c>
      <c r="D60" s="158">
        <f t="shared" si="17"/>
        <v>0</v>
      </c>
      <c r="E60" s="164">
        <v>0</v>
      </c>
      <c r="F60" s="102"/>
      <c r="G60" s="70"/>
      <c r="H60" s="112"/>
      <c r="I60" s="70"/>
      <c r="J60" s="70"/>
      <c r="K60" s="212"/>
      <c r="L60" s="212"/>
      <c r="M60" s="212"/>
      <c r="N60" s="212"/>
      <c r="O60" s="212"/>
      <c r="P60" s="212"/>
      <c r="Q60" s="212"/>
      <c r="R60" s="70"/>
      <c r="S60" s="102"/>
      <c r="T60" s="233">
        <f t="shared" si="11"/>
        <v>0</v>
      </c>
      <c r="U60" s="119">
        <f t="shared" si="2"/>
        <v>0</v>
      </c>
    </row>
    <row r="61" spans="1:21" ht="13.5" thickBot="1" x14ac:dyDescent="0.25">
      <c r="A61" s="24">
        <v>13</v>
      </c>
      <c r="B61" s="6" t="s">
        <v>26</v>
      </c>
      <c r="C61" s="34">
        <f>D61/D76</f>
        <v>2.6628129474261701E-3</v>
      </c>
      <c r="D61" s="149">
        <f t="shared" si="13"/>
        <v>66.333333333333329</v>
      </c>
      <c r="E61" s="61">
        <v>796</v>
      </c>
      <c r="F61" s="199"/>
      <c r="G61" s="86"/>
      <c r="H61" s="86"/>
      <c r="I61" s="86"/>
      <c r="J61" s="86"/>
      <c r="K61" s="209"/>
      <c r="L61" s="209"/>
      <c r="M61" s="209"/>
      <c r="N61" s="209"/>
      <c r="O61" s="209"/>
      <c r="P61" s="236"/>
      <c r="Q61" s="209"/>
      <c r="R61" s="86"/>
      <c r="S61" s="117"/>
      <c r="T61" s="132">
        <f t="shared" si="11"/>
        <v>0</v>
      </c>
      <c r="U61" s="132">
        <f>E61-T61</f>
        <v>796</v>
      </c>
    </row>
    <row r="62" spans="1:21" x14ac:dyDescent="0.2">
      <c r="A62" s="174">
        <v>14</v>
      </c>
      <c r="B62" s="175" t="s">
        <v>119</v>
      </c>
      <c r="C62" s="176">
        <f>D62/D76</f>
        <v>-2.900793491496394</v>
      </c>
      <c r="D62" s="177">
        <f t="shared" si="13"/>
        <v>-72261.666666666672</v>
      </c>
      <c r="E62" s="178">
        <f>SUM(E63:E71)</f>
        <v>-867140</v>
      </c>
      <c r="F62" s="179">
        <f>SUM(F63:F71)</f>
        <v>4500</v>
      </c>
      <c r="G62" s="180">
        <f>SUM(G63:G71)</f>
        <v>60212.6</v>
      </c>
      <c r="H62" s="181">
        <f>SUM(H63:H71)</f>
        <v>10792.24</v>
      </c>
      <c r="I62" s="181">
        <f t="shared" ref="I62:S62" si="18">SUM(I63:I71)</f>
        <v>128705.58</v>
      </c>
      <c r="J62" s="181">
        <f t="shared" si="18"/>
        <v>178014.76</v>
      </c>
      <c r="K62" s="181">
        <f t="shared" si="18"/>
        <v>16448.060000000001</v>
      </c>
      <c r="L62" s="181">
        <f t="shared" si="18"/>
        <v>16027.12</v>
      </c>
      <c r="M62" s="181">
        <f t="shared" si="18"/>
        <v>77421.03</v>
      </c>
      <c r="N62" s="181">
        <f t="shared" si="18"/>
        <v>8658.65</v>
      </c>
      <c r="O62" s="181">
        <f t="shared" si="18"/>
        <v>40394.369999999995</v>
      </c>
      <c r="P62" s="181">
        <f t="shared" si="18"/>
        <v>124316.38</v>
      </c>
      <c r="Q62" s="181">
        <f t="shared" si="18"/>
        <v>14661.46</v>
      </c>
      <c r="R62" s="181">
        <f t="shared" si="18"/>
        <v>265483.13</v>
      </c>
      <c r="S62" s="181">
        <f t="shared" si="18"/>
        <v>1500</v>
      </c>
      <c r="T62" s="160">
        <f>-SUM(G62:S62)</f>
        <v>-942635.38</v>
      </c>
      <c r="U62" s="160">
        <f>E62-T62</f>
        <v>75495.38</v>
      </c>
    </row>
    <row r="63" spans="1:21" outlineLevel="1" x14ac:dyDescent="0.2">
      <c r="A63" s="182" t="s">
        <v>165</v>
      </c>
      <c r="B63" s="183" t="s">
        <v>169</v>
      </c>
      <c r="C63" s="184">
        <f>D63/D76</f>
        <v>-1.5764120268154631</v>
      </c>
      <c r="D63" s="185">
        <f t="shared" ref="D63:D71" si="19">E63/12</f>
        <v>-39270</v>
      </c>
      <c r="E63" s="186">
        <v>-471240</v>
      </c>
      <c r="F63" s="187"/>
      <c r="G63" s="187"/>
      <c r="H63" s="188"/>
      <c r="I63" s="189">
        <v>117810</v>
      </c>
      <c r="J63" s="188">
        <v>117810</v>
      </c>
      <c r="K63" s="216"/>
      <c r="L63" s="216"/>
      <c r="M63" s="216"/>
      <c r="N63" s="216"/>
      <c r="O63" s="216"/>
      <c r="P63" s="216"/>
      <c r="Q63" s="216"/>
      <c r="R63" s="188">
        <v>235620</v>
      </c>
      <c r="S63" s="189"/>
      <c r="T63" s="159">
        <f>SUM(G63:S63)</f>
        <v>471240</v>
      </c>
      <c r="U63" s="159">
        <f>-E63-T63</f>
        <v>0</v>
      </c>
    </row>
    <row r="64" spans="1:21" outlineLevel="1" x14ac:dyDescent="0.2">
      <c r="A64" s="190" t="s">
        <v>166</v>
      </c>
      <c r="B64" s="169" t="s">
        <v>170</v>
      </c>
      <c r="C64" s="191">
        <f>D64/D76</f>
        <v>-0.73060093934406489</v>
      </c>
      <c r="D64" s="192">
        <f t="shared" si="19"/>
        <v>-18200</v>
      </c>
      <c r="E64" s="193">
        <v>-218400</v>
      </c>
      <c r="F64" s="194"/>
      <c r="G64" s="165">
        <v>54600</v>
      </c>
      <c r="H64" s="165"/>
      <c r="I64" s="165"/>
      <c r="J64" s="165">
        <v>54600</v>
      </c>
      <c r="K64" s="217"/>
      <c r="L64" s="217"/>
      <c r="M64" s="217">
        <v>54600</v>
      </c>
      <c r="N64" s="217"/>
      <c r="O64" s="217"/>
      <c r="P64" s="217">
        <v>54600</v>
      </c>
      <c r="Q64" s="217"/>
      <c r="R64" s="165"/>
      <c r="S64" s="166"/>
      <c r="T64" s="145">
        <f>SUM(G64:S64)</f>
        <v>218400</v>
      </c>
      <c r="U64" s="145">
        <f>-E64-T64</f>
        <v>0</v>
      </c>
    </row>
    <row r="65" spans="1:23" outlineLevel="1" x14ac:dyDescent="0.2">
      <c r="A65" s="190" t="s">
        <v>167</v>
      </c>
      <c r="B65" s="169" t="s">
        <v>189</v>
      </c>
      <c r="C65" s="191">
        <f>D65/D76</f>
        <v>-0.1204287262655052</v>
      </c>
      <c r="D65" s="192">
        <f t="shared" si="19"/>
        <v>-3000</v>
      </c>
      <c r="E65" s="193">
        <v>-36000</v>
      </c>
      <c r="F65" s="194">
        <v>3000</v>
      </c>
      <c r="G65" s="165"/>
      <c r="H65" s="165"/>
      <c r="I65" s="165"/>
      <c r="J65" s="165"/>
      <c r="K65" s="217"/>
      <c r="L65" s="217"/>
      <c r="M65" s="217">
        <v>15000</v>
      </c>
      <c r="N65" s="217">
        <v>3000</v>
      </c>
      <c r="O65" s="217">
        <v>3000</v>
      </c>
      <c r="P65" s="217"/>
      <c r="Q65" s="217">
        <v>6000</v>
      </c>
      <c r="R65" s="165"/>
      <c r="S65" s="166"/>
      <c r="T65" s="159">
        <f t="shared" ref="T65:T71" si="20">SUM(G65:S65)</f>
        <v>27000</v>
      </c>
      <c r="U65" s="159">
        <f t="shared" ref="U65:U71" si="21">-E65-T65</f>
        <v>9000</v>
      </c>
    </row>
    <row r="66" spans="1:23" outlineLevel="1" x14ac:dyDescent="0.2">
      <c r="A66" s="190" t="s">
        <v>168</v>
      </c>
      <c r="B66" s="169" t="s">
        <v>171</v>
      </c>
      <c r="C66" s="191">
        <f>D66/D76</f>
        <v>-0.1505359078318815</v>
      </c>
      <c r="D66" s="192">
        <f t="shared" si="19"/>
        <v>-3750</v>
      </c>
      <c r="E66" s="193">
        <v>-45000</v>
      </c>
      <c r="F66" s="194"/>
      <c r="G66" s="165"/>
      <c r="H66" s="165">
        <v>9000</v>
      </c>
      <c r="I66" s="165">
        <v>9000</v>
      </c>
      <c r="J66" s="165"/>
      <c r="K66" s="217"/>
      <c r="L66" s="217">
        <v>9000</v>
      </c>
      <c r="M66" s="217"/>
      <c r="N66" s="217"/>
      <c r="O66" s="217">
        <v>9000</v>
      </c>
      <c r="P66" s="217"/>
      <c r="Q66" s="217"/>
      <c r="R66" s="165">
        <v>9000</v>
      </c>
      <c r="S66" s="165"/>
      <c r="T66" s="145">
        <f t="shared" si="20"/>
        <v>45000</v>
      </c>
      <c r="U66" s="145">
        <f t="shared" si="21"/>
        <v>0</v>
      </c>
    </row>
    <row r="67" spans="1:23" outlineLevel="1" x14ac:dyDescent="0.2">
      <c r="A67" s="190" t="s">
        <v>173</v>
      </c>
      <c r="B67" s="169" t="s">
        <v>172</v>
      </c>
      <c r="C67" s="191">
        <f>D67/D76</f>
        <v>-6.02143631327526E-2</v>
      </c>
      <c r="D67" s="192">
        <f t="shared" si="19"/>
        <v>-1500</v>
      </c>
      <c r="E67" s="193">
        <v>-18000</v>
      </c>
      <c r="F67" s="166">
        <v>1500</v>
      </c>
      <c r="G67" s="165"/>
      <c r="H67" s="165">
        <v>1500</v>
      </c>
      <c r="I67" s="165">
        <v>1500</v>
      </c>
      <c r="J67" s="165"/>
      <c r="K67" s="217">
        <v>3000</v>
      </c>
      <c r="L67" s="217">
        <v>1500</v>
      </c>
      <c r="M67" s="217">
        <v>1500</v>
      </c>
      <c r="N67" s="217"/>
      <c r="O67" s="217">
        <v>1500</v>
      </c>
      <c r="P67" s="217">
        <v>3000</v>
      </c>
      <c r="Q67" s="217"/>
      <c r="R67" s="165">
        <v>3000</v>
      </c>
      <c r="S67" s="165">
        <v>1500</v>
      </c>
      <c r="T67" s="159">
        <f t="shared" si="20"/>
        <v>18000</v>
      </c>
      <c r="U67" s="159">
        <f t="shared" si="21"/>
        <v>0</v>
      </c>
    </row>
    <row r="68" spans="1:23" outlineLevel="1" x14ac:dyDescent="0.2">
      <c r="A68" s="190" t="s">
        <v>174</v>
      </c>
      <c r="B68" s="169" t="s">
        <v>203</v>
      </c>
      <c r="C68" s="191">
        <f>D68/D76</f>
        <v>-4.0142908755168398E-2</v>
      </c>
      <c r="D68" s="192">
        <f t="shared" si="19"/>
        <v>-1000</v>
      </c>
      <c r="E68" s="193">
        <v>-12000</v>
      </c>
      <c r="F68" s="219"/>
      <c r="G68" s="165"/>
      <c r="H68" s="165"/>
      <c r="I68" s="165"/>
      <c r="J68" s="165">
        <v>5000</v>
      </c>
      <c r="K68" s="217">
        <v>2000</v>
      </c>
      <c r="L68" s="217"/>
      <c r="M68" s="217"/>
      <c r="N68" s="217"/>
      <c r="O68" s="217">
        <v>1000</v>
      </c>
      <c r="P68" s="217">
        <v>1000</v>
      </c>
      <c r="Q68" s="217">
        <v>3000</v>
      </c>
      <c r="R68" s="165"/>
      <c r="S68" s="165"/>
      <c r="T68" s="145">
        <f t="shared" ref="T68:T69" si="22">SUM(G68:S68)</f>
        <v>12000</v>
      </c>
      <c r="U68" s="145">
        <f t="shared" ref="U68:U69" si="23">-E68-T68</f>
        <v>0</v>
      </c>
    </row>
    <row r="69" spans="1:23" outlineLevel="1" x14ac:dyDescent="0.2">
      <c r="A69" s="190" t="s">
        <v>176</v>
      </c>
      <c r="B69" s="169" t="s">
        <v>199</v>
      </c>
      <c r="C69" s="191">
        <f>D69/D76</f>
        <v>-0.20238716497397402</v>
      </c>
      <c r="D69" s="192">
        <f t="shared" si="19"/>
        <v>-5041.666666666667</v>
      </c>
      <c r="E69" s="193">
        <v>-60500</v>
      </c>
      <c r="F69" s="219"/>
      <c r="G69" s="165">
        <v>5500</v>
      </c>
      <c r="H69" s="165"/>
      <c r="I69" s="165"/>
      <c r="J69" s="165"/>
      <c r="K69" s="217">
        <v>11000</v>
      </c>
      <c r="L69" s="217">
        <v>5500</v>
      </c>
      <c r="M69" s="217">
        <v>5500</v>
      </c>
      <c r="N69" s="217">
        <v>5500</v>
      </c>
      <c r="O69" s="217">
        <v>5500</v>
      </c>
      <c r="P69" s="217">
        <v>5500</v>
      </c>
      <c r="Q69" s="217">
        <v>5500</v>
      </c>
      <c r="R69" s="165">
        <v>11000</v>
      </c>
      <c r="S69" s="165"/>
      <c r="T69" s="159">
        <f t="shared" si="22"/>
        <v>60500</v>
      </c>
      <c r="U69" s="159">
        <f t="shared" si="23"/>
        <v>0</v>
      </c>
    </row>
    <row r="70" spans="1:23" outlineLevel="1" x14ac:dyDescent="0.2">
      <c r="A70" s="190" t="s">
        <v>198</v>
      </c>
      <c r="B70" s="169" t="s">
        <v>177</v>
      </c>
      <c r="C70" s="191">
        <f>D70/D76</f>
        <v>-2.0071454377584199E-2</v>
      </c>
      <c r="D70" s="192">
        <f t="shared" si="19"/>
        <v>-500</v>
      </c>
      <c r="E70" s="193">
        <v>-6000</v>
      </c>
      <c r="F70" s="194"/>
      <c r="G70" s="165">
        <v>112.6</v>
      </c>
      <c r="H70" s="165">
        <v>292.24</v>
      </c>
      <c r="I70" s="165">
        <v>395.58</v>
      </c>
      <c r="J70" s="165">
        <v>604.76</v>
      </c>
      <c r="K70" s="217">
        <v>448.06</v>
      </c>
      <c r="L70" s="217">
        <v>27.12</v>
      </c>
      <c r="M70" s="217">
        <v>821.03</v>
      </c>
      <c r="N70" s="217">
        <v>158.65</v>
      </c>
      <c r="O70" s="217">
        <v>394.37</v>
      </c>
      <c r="P70" s="217">
        <v>216.38</v>
      </c>
      <c r="Q70" s="217">
        <v>161.46</v>
      </c>
      <c r="R70" s="165">
        <v>2113.13</v>
      </c>
      <c r="S70" s="165"/>
      <c r="T70" s="145">
        <f t="shared" si="20"/>
        <v>5745.38</v>
      </c>
      <c r="U70" s="145">
        <f t="shared" si="21"/>
        <v>254.61999999999989</v>
      </c>
    </row>
    <row r="71" spans="1:23" ht="13.5" outlineLevel="1" thickBot="1" x14ac:dyDescent="0.25">
      <c r="A71" s="190" t="s">
        <v>202</v>
      </c>
      <c r="B71" s="195" t="s">
        <v>175</v>
      </c>
      <c r="C71" s="196">
        <f>D71/D76</f>
        <v>0</v>
      </c>
      <c r="D71" s="197">
        <f t="shared" si="19"/>
        <v>0</v>
      </c>
      <c r="E71" s="198">
        <v>0</v>
      </c>
      <c r="F71" s="194"/>
      <c r="G71" s="187"/>
      <c r="H71" s="188"/>
      <c r="I71" s="189"/>
      <c r="J71" s="188"/>
      <c r="K71" s="216"/>
      <c r="L71" s="216"/>
      <c r="M71" s="216"/>
      <c r="N71" s="216"/>
      <c r="O71" s="216">
        <v>20000</v>
      </c>
      <c r="P71" s="216">
        <v>60000</v>
      </c>
      <c r="Q71" s="216"/>
      <c r="R71" s="188">
        <v>4750</v>
      </c>
      <c r="S71" s="165"/>
      <c r="T71" s="159">
        <f t="shared" si="20"/>
        <v>84750</v>
      </c>
      <c r="U71" s="159">
        <f t="shared" si="21"/>
        <v>-84750</v>
      </c>
    </row>
    <row r="72" spans="1:23" ht="13.5" thickBot="1" x14ac:dyDescent="0.25">
      <c r="A72" s="146">
        <v>15</v>
      </c>
      <c r="B72" s="147" t="s">
        <v>120</v>
      </c>
      <c r="C72" s="129">
        <f>D72/D76</f>
        <v>8.3631059906600844E-2</v>
      </c>
      <c r="D72" s="148">
        <f t="shared" si="13"/>
        <v>2083.3333333333335</v>
      </c>
      <c r="E72" s="131">
        <v>25000</v>
      </c>
      <c r="F72" s="108"/>
      <c r="G72" s="86"/>
      <c r="H72" s="86"/>
      <c r="I72" s="86">
        <v>5919</v>
      </c>
      <c r="J72" s="86">
        <v>6200</v>
      </c>
      <c r="K72" s="209"/>
      <c r="L72" s="209"/>
      <c r="M72" s="209">
        <v>7000</v>
      </c>
      <c r="N72" s="209"/>
      <c r="O72" s="209"/>
      <c r="P72" s="209">
        <v>8000</v>
      </c>
      <c r="Q72" s="209"/>
      <c r="R72" s="86"/>
      <c r="S72" s="108"/>
      <c r="T72" s="132">
        <f>SUM(G72:S72)</f>
        <v>27119</v>
      </c>
      <c r="U72" s="132">
        <f>E72-T72</f>
        <v>-2119</v>
      </c>
    </row>
    <row r="73" spans="1:23" ht="13.5" thickBot="1" x14ac:dyDescent="0.25">
      <c r="A73" s="146">
        <v>16</v>
      </c>
      <c r="B73" s="147" t="s">
        <v>211</v>
      </c>
      <c r="C73" s="200">
        <f>D73/D76</f>
        <v>-0.31301767626082183</v>
      </c>
      <c r="D73" s="148">
        <f t="shared" si="13"/>
        <v>-7797.583333333333</v>
      </c>
      <c r="E73" s="61">
        <v>-93571</v>
      </c>
      <c r="F73" s="203"/>
      <c r="G73" s="204"/>
      <c r="H73" s="205"/>
      <c r="I73" s="205"/>
      <c r="J73" s="205"/>
      <c r="K73" s="218"/>
      <c r="L73" s="218"/>
      <c r="M73" s="218"/>
      <c r="N73" s="218"/>
      <c r="O73" s="218"/>
      <c r="P73" s="218"/>
      <c r="Q73" s="218"/>
      <c r="R73" s="205"/>
      <c r="S73" s="206"/>
      <c r="T73" s="207">
        <f>E73</f>
        <v>-93571</v>
      </c>
      <c r="U73" s="207">
        <f>E73-T73</f>
        <v>0</v>
      </c>
    </row>
    <row r="74" spans="1:23" ht="13.5" thickBot="1" x14ac:dyDescent="0.25">
      <c r="A74" s="245" t="s">
        <v>27</v>
      </c>
      <c r="B74" s="246"/>
      <c r="C74" s="58">
        <f>D74/D76</f>
        <v>13.000070250090321</v>
      </c>
      <c r="D74" s="59">
        <f t="shared" si="13"/>
        <v>323844.75</v>
      </c>
      <c r="E74" s="59">
        <v>3886137</v>
      </c>
      <c r="F74" s="106">
        <f>F5+F6+F7+F8+F9+F12+F15+F16+F20+F25+F39+F47+F61-F62+F72-F73</f>
        <v>111183.69</v>
      </c>
      <c r="G74" s="106">
        <f>G5+G6+G7+G8+G9+G12+G15+G16+G20+G25+G39+G47+G61-G62+G72-G73</f>
        <v>42836.460000000014</v>
      </c>
      <c r="H74" s="106">
        <f>H5+H6+H7+H8+H9+H12+H15+H16+H20+H25+H39+H47+H61-H62+H72-H73</f>
        <v>291044.25</v>
      </c>
      <c r="I74" s="106">
        <f t="shared" ref="I74:S74" si="24">I5+I6+I7+I8+I9+I12+I15+I16+I20+I25+I39+I47+I61-I62+I72-I73</f>
        <v>229438.88</v>
      </c>
      <c r="J74" s="106">
        <f t="shared" si="24"/>
        <v>338766.08000000002</v>
      </c>
      <c r="K74" s="106">
        <f t="shared" si="24"/>
        <v>312917.73</v>
      </c>
      <c r="L74" s="106">
        <f t="shared" si="24"/>
        <v>343304.65</v>
      </c>
      <c r="M74" s="106">
        <f t="shared" si="24"/>
        <v>265021.65000000002</v>
      </c>
      <c r="N74" s="106">
        <f t="shared" si="24"/>
        <v>523199.88</v>
      </c>
      <c r="O74" s="106">
        <f t="shared" si="24"/>
        <v>449991.73000000004</v>
      </c>
      <c r="P74" s="106">
        <f t="shared" si="24"/>
        <v>309427.23000000004</v>
      </c>
      <c r="Q74" s="106">
        <f t="shared" si="24"/>
        <v>338195.19</v>
      </c>
      <c r="R74" s="106">
        <f t="shared" si="24"/>
        <v>211506.94</v>
      </c>
      <c r="S74" s="106">
        <f t="shared" si="24"/>
        <v>74164.95</v>
      </c>
      <c r="T74" s="133">
        <f>T5+T6+T7+T8+T9+T12+T15+T16+T20+T25+T39+T47+T61+T62+T72+T73</f>
        <v>3636244.6199999992</v>
      </c>
      <c r="U74" s="23">
        <f>E74-T74</f>
        <v>249892.38000000082</v>
      </c>
    </row>
    <row r="75" spans="1:23" s="11" customFormat="1" ht="11.25" x14ac:dyDescent="0.2">
      <c r="F75" s="221"/>
      <c r="G75" s="222"/>
      <c r="H75" s="222"/>
      <c r="I75" s="222"/>
      <c r="J75" s="222"/>
      <c r="K75" s="222"/>
      <c r="L75" s="222"/>
      <c r="M75" s="222"/>
      <c r="N75" s="221"/>
      <c r="O75" s="221"/>
      <c r="P75" s="221"/>
      <c r="Q75" s="221"/>
      <c r="R75" s="222"/>
      <c r="S75" s="221"/>
    </row>
    <row r="76" spans="1:23" x14ac:dyDescent="0.2">
      <c r="A76" s="107" t="s">
        <v>28</v>
      </c>
      <c r="B76" s="107"/>
      <c r="C76" s="32"/>
      <c r="D76" s="220">
        <v>24911</v>
      </c>
      <c r="E76" s="2" t="s">
        <v>29</v>
      </c>
      <c r="F76" s="249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1"/>
      <c r="W76" s="251"/>
    </row>
    <row r="77" spans="1:23" s="11" customFormat="1" ht="11.25" x14ac:dyDescent="0.2">
      <c r="F77" s="238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2"/>
      <c r="W77" s="252"/>
    </row>
    <row r="78" spans="1:23" x14ac:dyDescent="0.2">
      <c r="A78" s="239" t="s">
        <v>206</v>
      </c>
      <c r="B78" s="239"/>
      <c r="C78" s="31"/>
      <c r="F78" s="249"/>
      <c r="G78" s="250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1"/>
      <c r="W78" s="251"/>
    </row>
    <row r="79" spans="1:23" x14ac:dyDescent="0.2">
      <c r="A79" s="239" t="s">
        <v>164</v>
      </c>
      <c r="B79" s="239"/>
      <c r="C79" s="31"/>
      <c r="D79" s="33">
        <f>D74/D76</f>
        <v>13.000070250090321</v>
      </c>
      <c r="E79" s="2" t="s">
        <v>31</v>
      </c>
      <c r="F79" s="238"/>
      <c r="G79" s="250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1"/>
      <c r="W79" s="251"/>
    </row>
    <row r="80" spans="1:23" x14ac:dyDescent="0.2">
      <c r="A80" s="237"/>
      <c r="B80" s="237"/>
      <c r="C80" s="235"/>
      <c r="D80" s="33"/>
      <c r="E80" s="2"/>
      <c r="F80" s="238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1"/>
      <c r="W80" s="251"/>
    </row>
    <row r="81" spans="2:23" x14ac:dyDescent="0.2">
      <c r="F81" s="238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1"/>
      <c r="W81" s="251"/>
    </row>
    <row r="82" spans="2:23" x14ac:dyDescent="0.2">
      <c r="B82" s="167"/>
      <c r="F82" s="254"/>
      <c r="G82" s="255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1"/>
      <c r="U82" s="251"/>
      <c r="V82" s="251"/>
      <c r="W82" s="251"/>
    </row>
    <row r="83" spans="2:23" x14ac:dyDescent="0.2">
      <c r="F83" s="238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1"/>
      <c r="W83" s="251"/>
    </row>
    <row r="84" spans="2:23" x14ac:dyDescent="0.2"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</row>
    <row r="85" spans="2:23" x14ac:dyDescent="0.2">
      <c r="F85" s="251"/>
      <c r="G85" s="257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</row>
    <row r="86" spans="2:23" x14ac:dyDescent="0.2"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8"/>
      <c r="T86" s="259"/>
      <c r="U86" s="251"/>
      <c r="V86" s="251"/>
      <c r="W86" s="251"/>
    </row>
  </sheetData>
  <sheetProtection password="DC7D" sheet="1" objects="1" scenarios="1" selectLockedCells="1" selectUnlockedCells="1"/>
  <mergeCells count="7">
    <mergeCell ref="A78:B78"/>
    <mergeCell ref="A79:B79"/>
    <mergeCell ref="F3:R3"/>
    <mergeCell ref="A1:E1"/>
    <mergeCell ref="A2:E2"/>
    <mergeCell ref="A3:E3"/>
    <mergeCell ref="A74:B74"/>
  </mergeCells>
  <phoneticPr fontId="4" type="noConversion"/>
  <pageMargins left="0.78740157480314965" right="0.19685039370078741" top="0.19685039370078741" bottom="0.19685039370078741" header="0.51181102362204722" footer="0.51181102362204722"/>
  <pageSetup paperSize="8" scale="75" firstPageNumber="0" orientation="landscape" horizontalDpi="300" verticalDpi="300" r:id="rId1"/>
  <headerFooter alignWithMargins="0"/>
  <ignoredErrors>
    <ignoredError sqref="G47:H47 T7 T17:T18 T26:T28 T30 T55 T61 T72 E47 E62:F62" formulaRange="1"/>
    <ignoredError sqref="D74 T74 G12" formula="1"/>
    <ignoredError sqref="A60 A38" twoDigitTextYear="1"/>
    <ignoredError sqref="T62" formula="1" formulaRange="1"/>
    <ignoredError sqref="A47 A39 A25 A20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workbookViewId="0">
      <selection activeCell="A2" sqref="A2:E2"/>
    </sheetView>
  </sheetViews>
  <sheetFormatPr defaultRowHeight="12.75" x14ac:dyDescent="0.2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 x14ac:dyDescent="0.2">
      <c r="C1" s="248" t="s">
        <v>162</v>
      </c>
      <c r="D1" s="248"/>
      <c r="E1" s="248"/>
    </row>
    <row r="2" spans="1:5" x14ac:dyDescent="0.2">
      <c r="A2" s="243" t="s">
        <v>0</v>
      </c>
      <c r="B2" s="243"/>
      <c r="C2" s="243"/>
      <c r="D2" s="243"/>
      <c r="E2" s="243"/>
    </row>
    <row r="3" spans="1:5" x14ac:dyDescent="0.2">
      <c r="A3" s="243" t="s">
        <v>116</v>
      </c>
      <c r="B3" s="243"/>
      <c r="C3" s="243"/>
      <c r="D3" s="243"/>
      <c r="E3" s="243"/>
    </row>
    <row r="4" spans="1:5" ht="13.5" thickBot="1" x14ac:dyDescent="0.25">
      <c r="A4" s="244"/>
      <c r="B4" s="244"/>
      <c r="C4" s="244"/>
      <c r="D4" s="244"/>
      <c r="E4" s="244"/>
    </row>
    <row r="5" spans="1:5" ht="39" thickBot="1" x14ac:dyDescent="0.25">
      <c r="A5" s="9" t="s">
        <v>1</v>
      </c>
      <c r="B5" s="10" t="s">
        <v>2</v>
      </c>
      <c r="C5" s="12" t="s">
        <v>161</v>
      </c>
      <c r="D5" s="12" t="s">
        <v>3</v>
      </c>
      <c r="E5" s="19" t="s">
        <v>4</v>
      </c>
    </row>
    <row r="6" spans="1:5" ht="13.5" thickBot="1" x14ac:dyDescent="0.25">
      <c r="A6" s="24">
        <v>1</v>
      </c>
      <c r="B6" s="6" t="s">
        <v>106</v>
      </c>
      <c r="C6" s="34">
        <f>D6/D80</f>
        <v>4.2934603646293468</v>
      </c>
      <c r="D6" s="15">
        <f t="shared" ref="D6:D69" si="0">E6/12</f>
        <v>106915.75</v>
      </c>
      <c r="E6" s="61">
        <v>1282989</v>
      </c>
    </row>
    <row r="7" spans="1:5" ht="13.5" thickBot="1" x14ac:dyDescent="0.25">
      <c r="A7" s="24">
        <v>2</v>
      </c>
      <c r="B7" s="6" t="s">
        <v>117</v>
      </c>
      <c r="C7" s="34">
        <f>D7/D80</f>
        <v>0.6812705806762509</v>
      </c>
      <c r="D7" s="15">
        <f t="shared" si="0"/>
        <v>16965</v>
      </c>
      <c r="E7" s="61">
        <v>203580</v>
      </c>
    </row>
    <row r="8" spans="1:5" ht="13.5" thickBot="1" x14ac:dyDescent="0.25">
      <c r="A8" s="24">
        <v>3</v>
      </c>
      <c r="B8" s="6" t="s">
        <v>118</v>
      </c>
      <c r="C8" s="34">
        <f>D8/D80</f>
        <v>1.7402230075228229</v>
      </c>
      <c r="D8" s="15">
        <f t="shared" si="0"/>
        <v>43335.033333333333</v>
      </c>
      <c r="E8" s="61">
        <v>520020.4</v>
      </c>
    </row>
    <row r="9" spans="1:5" ht="13.5" thickBot="1" x14ac:dyDescent="0.25">
      <c r="A9" s="24">
        <v>4</v>
      </c>
      <c r="B9" s="6" t="s">
        <v>105</v>
      </c>
      <c r="C9" s="34">
        <f>D9/D80</f>
        <v>0.13385805691644581</v>
      </c>
      <c r="D9" s="15">
        <f t="shared" si="0"/>
        <v>3333.3333333333335</v>
      </c>
      <c r="E9" s="61">
        <v>40000</v>
      </c>
    </row>
    <row r="10" spans="1:5" x14ac:dyDescent="0.2">
      <c r="A10" s="123">
        <v>5</v>
      </c>
      <c r="B10" s="7" t="s">
        <v>5</v>
      </c>
      <c r="C10" s="35">
        <f>D10/D80</f>
        <v>3.0118062806200305E-2</v>
      </c>
      <c r="D10" s="16">
        <f t="shared" si="0"/>
        <v>750</v>
      </c>
      <c r="E10" s="62">
        <f>E11+E12</f>
        <v>9000</v>
      </c>
    </row>
    <row r="11" spans="1:5" x14ac:dyDescent="0.2">
      <c r="A11" s="29" t="s">
        <v>45</v>
      </c>
      <c r="B11" s="41" t="s">
        <v>96</v>
      </c>
      <c r="C11" s="42">
        <f>D11/D80</f>
        <v>2.3425159960378018E-2</v>
      </c>
      <c r="D11" s="43">
        <f t="shared" si="0"/>
        <v>583.33333333333337</v>
      </c>
      <c r="E11" s="45">
        <v>7000</v>
      </c>
    </row>
    <row r="12" spans="1:5" ht="13.5" thickBot="1" x14ac:dyDescent="0.25">
      <c r="A12" s="29" t="s">
        <v>46</v>
      </c>
      <c r="B12" s="48" t="s">
        <v>6</v>
      </c>
      <c r="C12" s="49">
        <f>D12/D80</f>
        <v>6.6929028458222895E-3</v>
      </c>
      <c r="D12" s="44">
        <f t="shared" si="0"/>
        <v>166.66666666666666</v>
      </c>
      <c r="E12" s="63">
        <v>2000</v>
      </c>
    </row>
    <row r="13" spans="1:5" x14ac:dyDescent="0.2">
      <c r="A13" s="25" t="s">
        <v>107</v>
      </c>
      <c r="B13" s="7" t="s">
        <v>7</v>
      </c>
      <c r="C13" s="35">
        <f>D13/D80</f>
        <v>0.15393676545391269</v>
      </c>
      <c r="D13" s="16">
        <f t="shared" si="0"/>
        <v>3833.3333333333335</v>
      </c>
      <c r="E13" s="62">
        <f>SUM(E14:E15)</f>
        <v>46000</v>
      </c>
    </row>
    <row r="14" spans="1:5" x14ac:dyDescent="0.2">
      <c r="A14" s="29" t="s">
        <v>131</v>
      </c>
      <c r="B14" s="65" t="s">
        <v>8</v>
      </c>
      <c r="C14" s="42">
        <f>D14/D80</f>
        <v>0.12047225122480122</v>
      </c>
      <c r="D14" s="43">
        <f t="shared" si="0"/>
        <v>3000</v>
      </c>
      <c r="E14" s="45">
        <v>36000</v>
      </c>
    </row>
    <row r="15" spans="1:5" x14ac:dyDescent="0.2">
      <c r="A15" s="29" t="s">
        <v>132</v>
      </c>
      <c r="B15" s="41" t="s">
        <v>9</v>
      </c>
      <c r="C15" s="42">
        <f>D15/D80</f>
        <v>3.3464514229111453E-2</v>
      </c>
      <c r="D15" s="43">
        <f t="shared" si="0"/>
        <v>833.33333333333337</v>
      </c>
      <c r="E15" s="45">
        <f>E16+E17</f>
        <v>10000</v>
      </c>
    </row>
    <row r="16" spans="1:5" x14ac:dyDescent="0.2">
      <c r="A16" s="27" t="s">
        <v>133</v>
      </c>
      <c r="B16" s="3" t="s">
        <v>10</v>
      </c>
      <c r="C16" s="36"/>
      <c r="D16" s="17">
        <f t="shared" si="0"/>
        <v>250</v>
      </c>
      <c r="E16" s="76">
        <v>3000</v>
      </c>
    </row>
    <row r="17" spans="1:5" ht="13.5" thickBot="1" x14ac:dyDescent="0.25">
      <c r="A17" s="28" t="s">
        <v>134</v>
      </c>
      <c r="B17" s="4" t="s">
        <v>71</v>
      </c>
      <c r="C17" s="37"/>
      <c r="D17" s="18">
        <f t="shared" si="0"/>
        <v>583.33333333333337</v>
      </c>
      <c r="E17" s="77">
        <v>7000</v>
      </c>
    </row>
    <row r="18" spans="1:5" ht="13.5" thickBot="1" x14ac:dyDescent="0.25">
      <c r="A18" s="26" t="s">
        <v>108</v>
      </c>
      <c r="B18" s="6" t="s">
        <v>11</v>
      </c>
      <c r="C18" s="34">
        <f>D18/D80</f>
        <v>1.6732257114555726E-2</v>
      </c>
      <c r="D18" s="15">
        <f t="shared" si="0"/>
        <v>416.66666666666669</v>
      </c>
      <c r="E18" s="61">
        <v>5000</v>
      </c>
    </row>
    <row r="19" spans="1:5" x14ac:dyDescent="0.2">
      <c r="A19" s="25" t="s">
        <v>109</v>
      </c>
      <c r="B19" s="7" t="s">
        <v>69</v>
      </c>
      <c r="C19" s="35">
        <f>D19/D80</f>
        <v>0.14356276604288812</v>
      </c>
      <c r="D19" s="16">
        <f t="shared" si="0"/>
        <v>3575</v>
      </c>
      <c r="E19" s="62">
        <f>SUM(E20:E22)</f>
        <v>42900</v>
      </c>
    </row>
    <row r="20" spans="1:5" x14ac:dyDescent="0.2">
      <c r="A20" s="29" t="s">
        <v>47</v>
      </c>
      <c r="B20" s="41" t="s">
        <v>88</v>
      </c>
      <c r="C20" s="42">
        <f>D20/D80</f>
        <v>5.0196771343667172E-2</v>
      </c>
      <c r="D20" s="43">
        <f t="shared" si="0"/>
        <v>1250</v>
      </c>
      <c r="E20" s="45">
        <v>15000</v>
      </c>
    </row>
    <row r="21" spans="1:5" x14ac:dyDescent="0.2">
      <c r="A21" s="29" t="s">
        <v>48</v>
      </c>
      <c r="B21" s="41" t="s">
        <v>72</v>
      </c>
      <c r="C21" s="42">
        <f>D21/D80</f>
        <v>2.007870853746687E-2</v>
      </c>
      <c r="D21" s="43">
        <f t="shared" si="0"/>
        <v>500</v>
      </c>
      <c r="E21" s="45">
        <v>6000</v>
      </c>
    </row>
    <row r="22" spans="1:5" x14ac:dyDescent="0.2">
      <c r="A22" s="29" t="s">
        <v>49</v>
      </c>
      <c r="B22" s="41" t="s">
        <v>68</v>
      </c>
      <c r="C22" s="42">
        <f>D22/D80</f>
        <v>7.3287286161754076E-2</v>
      </c>
      <c r="D22" s="43">
        <f t="shared" si="0"/>
        <v>1825</v>
      </c>
      <c r="E22" s="45">
        <f>SUM(E23:E25)</f>
        <v>21900</v>
      </c>
    </row>
    <row r="23" spans="1:5" x14ac:dyDescent="0.2">
      <c r="A23" s="27" t="s">
        <v>135</v>
      </c>
      <c r="B23" s="3" t="s">
        <v>70</v>
      </c>
      <c r="C23" s="36"/>
      <c r="D23" s="17">
        <f t="shared" si="0"/>
        <v>75</v>
      </c>
      <c r="E23" s="76">
        <v>900</v>
      </c>
    </row>
    <row r="24" spans="1:5" x14ac:dyDescent="0.2">
      <c r="A24" s="27" t="s">
        <v>136</v>
      </c>
      <c r="B24" s="71" t="s">
        <v>94</v>
      </c>
      <c r="C24" s="72"/>
      <c r="D24" s="73">
        <f t="shared" si="0"/>
        <v>500</v>
      </c>
      <c r="E24" s="78">
        <v>6000</v>
      </c>
    </row>
    <row r="25" spans="1:5" ht="13.5" thickBot="1" x14ac:dyDescent="0.25">
      <c r="A25" s="27" t="s">
        <v>137</v>
      </c>
      <c r="B25" s="71" t="s">
        <v>93</v>
      </c>
      <c r="C25" s="72"/>
      <c r="D25" s="73">
        <f t="shared" si="0"/>
        <v>1250</v>
      </c>
      <c r="E25" s="78">
        <v>15000</v>
      </c>
    </row>
    <row r="26" spans="1:5" x14ac:dyDescent="0.2">
      <c r="A26" s="25" t="s">
        <v>110</v>
      </c>
      <c r="B26" s="7" t="s">
        <v>12</v>
      </c>
      <c r="C26" s="35">
        <f>D26/D80</f>
        <v>8.7007736995689769E-2</v>
      </c>
      <c r="D26" s="16">
        <f t="shared" si="0"/>
        <v>2166.6666666666665</v>
      </c>
      <c r="E26" s="62">
        <f>SUM(E27:E31)</f>
        <v>26000</v>
      </c>
    </row>
    <row r="27" spans="1:5" x14ac:dyDescent="0.2">
      <c r="A27" s="29" t="s">
        <v>50</v>
      </c>
      <c r="B27" s="41" t="s">
        <v>13</v>
      </c>
      <c r="C27" s="42">
        <f>D27/D80</f>
        <v>1.6732257114555726E-2</v>
      </c>
      <c r="D27" s="43">
        <f t="shared" si="0"/>
        <v>416.66666666666669</v>
      </c>
      <c r="E27" s="45">
        <v>5000</v>
      </c>
    </row>
    <row r="28" spans="1:5" x14ac:dyDescent="0.2">
      <c r="A28" s="29" t="s">
        <v>51</v>
      </c>
      <c r="B28" s="41" t="s">
        <v>14</v>
      </c>
      <c r="C28" s="42">
        <f>D28/D80</f>
        <v>2.007870853746687E-2</v>
      </c>
      <c r="D28" s="43">
        <f t="shared" si="0"/>
        <v>500</v>
      </c>
      <c r="E28" s="45">
        <v>6000</v>
      </c>
    </row>
    <row r="29" spans="1:5" x14ac:dyDescent="0.2">
      <c r="A29" s="29" t="s">
        <v>52</v>
      </c>
      <c r="B29" s="41" t="s">
        <v>15</v>
      </c>
      <c r="C29" s="42">
        <f>D29/D80</f>
        <v>2.007870853746687E-2</v>
      </c>
      <c r="D29" s="43">
        <f t="shared" si="0"/>
        <v>500</v>
      </c>
      <c r="E29" s="45">
        <v>6000</v>
      </c>
    </row>
    <row r="30" spans="1:5" x14ac:dyDescent="0.2">
      <c r="A30" s="29" t="s">
        <v>53</v>
      </c>
      <c r="B30" s="41" t="s">
        <v>16</v>
      </c>
      <c r="C30" s="42">
        <f>D30/D80</f>
        <v>3.3464514229111448E-3</v>
      </c>
      <c r="D30" s="43">
        <f t="shared" si="0"/>
        <v>83.333333333333329</v>
      </c>
      <c r="E30" s="45">
        <v>1000</v>
      </c>
    </row>
    <row r="31" spans="1:5" ht="13.5" thickBot="1" x14ac:dyDescent="0.25">
      <c r="A31" s="30" t="s">
        <v>54</v>
      </c>
      <c r="B31" s="48" t="s">
        <v>84</v>
      </c>
      <c r="C31" s="49">
        <f>D31/D80</f>
        <v>2.6771611383289158E-2</v>
      </c>
      <c r="D31" s="44">
        <f t="shared" si="0"/>
        <v>666.66666666666663</v>
      </c>
      <c r="E31" s="63">
        <v>8000</v>
      </c>
    </row>
    <row r="32" spans="1:5" ht="25.5" x14ac:dyDescent="0.2">
      <c r="A32" s="25" t="s">
        <v>111</v>
      </c>
      <c r="B32" s="8" t="s">
        <v>17</v>
      </c>
      <c r="C32" s="39">
        <f>D32/D80</f>
        <v>0.95005755896447397</v>
      </c>
      <c r="D32" s="40">
        <f t="shared" si="0"/>
        <v>23658.333333333332</v>
      </c>
      <c r="E32" s="79">
        <f>SUM(E33:E45)</f>
        <v>283900</v>
      </c>
    </row>
    <row r="33" spans="1:5" x14ac:dyDescent="0.2">
      <c r="A33" s="29" t="s">
        <v>56</v>
      </c>
      <c r="B33" s="41" t="s">
        <v>99</v>
      </c>
      <c r="C33" s="42">
        <f>D33/D80</f>
        <v>4.8188900489920486E-2</v>
      </c>
      <c r="D33" s="43">
        <f t="shared" si="0"/>
        <v>1200</v>
      </c>
      <c r="E33" s="45">
        <v>14400</v>
      </c>
    </row>
    <row r="34" spans="1:5" x14ac:dyDescent="0.2">
      <c r="A34" s="29" t="s">
        <v>57</v>
      </c>
      <c r="B34" s="74" t="s">
        <v>55</v>
      </c>
      <c r="C34" s="42">
        <f>D34/D80</f>
        <v>0.16732257114555726</v>
      </c>
      <c r="D34" s="43">
        <f t="shared" si="0"/>
        <v>4166.666666666667</v>
      </c>
      <c r="E34" s="45">
        <v>50000</v>
      </c>
    </row>
    <row r="35" spans="1:5" x14ac:dyDescent="0.2">
      <c r="A35" s="29" t="s">
        <v>58</v>
      </c>
      <c r="B35" s="75" t="s">
        <v>18</v>
      </c>
      <c r="C35" s="42">
        <f>D35/D80</f>
        <v>0.10039354268733434</v>
      </c>
      <c r="D35" s="43">
        <f t="shared" si="0"/>
        <v>2500</v>
      </c>
      <c r="E35" s="45">
        <v>30000</v>
      </c>
    </row>
    <row r="36" spans="1:5" x14ac:dyDescent="0.2">
      <c r="A36" s="29" t="s">
        <v>73</v>
      </c>
      <c r="B36" s="41" t="s">
        <v>19</v>
      </c>
      <c r="C36" s="42">
        <f>D36/D80</f>
        <v>0.10039354268733434</v>
      </c>
      <c r="D36" s="43">
        <f t="shared" si="0"/>
        <v>2500</v>
      </c>
      <c r="E36" s="45">
        <v>30000</v>
      </c>
    </row>
    <row r="37" spans="1:5" x14ac:dyDescent="0.2">
      <c r="A37" s="29" t="s">
        <v>75</v>
      </c>
      <c r="B37" s="41" t="s">
        <v>20</v>
      </c>
      <c r="C37" s="42">
        <f>D37/D80</f>
        <v>2.007870853746687E-2</v>
      </c>
      <c r="D37" s="43">
        <f t="shared" si="0"/>
        <v>500</v>
      </c>
      <c r="E37" s="45">
        <v>6000</v>
      </c>
    </row>
    <row r="38" spans="1:5" x14ac:dyDescent="0.2">
      <c r="A38" s="29" t="s">
        <v>79</v>
      </c>
      <c r="B38" s="41" t="s">
        <v>100</v>
      </c>
      <c r="C38" s="42">
        <f>D38/D83</f>
        <v>22.727269961610727</v>
      </c>
      <c r="D38" s="43">
        <f t="shared" si="0"/>
        <v>250</v>
      </c>
      <c r="E38" s="45">
        <v>3000</v>
      </c>
    </row>
    <row r="39" spans="1:5" x14ac:dyDescent="0.2">
      <c r="A39" s="29" t="s">
        <v>82</v>
      </c>
      <c r="B39" s="41" t="s">
        <v>101</v>
      </c>
      <c r="C39" s="42">
        <f>D39/D83</f>
        <v>22.727269961610727</v>
      </c>
      <c r="D39" s="43">
        <f t="shared" si="0"/>
        <v>250</v>
      </c>
      <c r="E39" s="45">
        <v>3000</v>
      </c>
    </row>
    <row r="40" spans="1:5" x14ac:dyDescent="0.2">
      <c r="A40" s="29" t="s">
        <v>103</v>
      </c>
      <c r="B40" s="41" t="s">
        <v>21</v>
      </c>
      <c r="C40" s="42">
        <f>D40/D80</f>
        <v>4.0157417074933741E-2</v>
      </c>
      <c r="D40" s="43">
        <f t="shared" si="0"/>
        <v>1000</v>
      </c>
      <c r="E40" s="45">
        <v>12000</v>
      </c>
    </row>
    <row r="41" spans="1:5" x14ac:dyDescent="0.2">
      <c r="A41" s="29" t="s">
        <v>138</v>
      </c>
      <c r="B41" s="41" t="s">
        <v>22</v>
      </c>
      <c r="C41" s="42">
        <f>D41/D80</f>
        <v>2.6771611383289158E-2</v>
      </c>
      <c r="D41" s="43">
        <f t="shared" si="0"/>
        <v>666.66666666666663</v>
      </c>
      <c r="E41" s="45">
        <v>8000</v>
      </c>
    </row>
    <row r="42" spans="1:5" x14ac:dyDescent="0.2">
      <c r="A42" s="29" t="s">
        <v>139</v>
      </c>
      <c r="B42" s="41" t="s">
        <v>81</v>
      </c>
      <c r="C42" s="42">
        <f>D42/D80</f>
        <v>0.12047225122480122</v>
      </c>
      <c r="D42" s="43">
        <f t="shared" si="0"/>
        <v>3000</v>
      </c>
      <c r="E42" s="45">
        <v>36000</v>
      </c>
    </row>
    <row r="43" spans="1:5" x14ac:dyDescent="0.2">
      <c r="A43" s="29" t="s">
        <v>140</v>
      </c>
      <c r="B43" s="65" t="s">
        <v>78</v>
      </c>
      <c r="C43" s="42">
        <f>D43/D80</f>
        <v>0.12716515407062351</v>
      </c>
      <c r="D43" s="43">
        <f t="shared" si="0"/>
        <v>3166.6666666666665</v>
      </c>
      <c r="E43" s="45">
        <v>38000</v>
      </c>
    </row>
    <row r="44" spans="1:5" x14ac:dyDescent="0.2">
      <c r="A44" s="29" t="s">
        <v>141</v>
      </c>
      <c r="B44" s="41" t="s">
        <v>23</v>
      </c>
      <c r="C44" s="42">
        <f>D44/D80</f>
        <v>9.5373865552967632E-2</v>
      </c>
      <c r="D44" s="43">
        <f t="shared" si="0"/>
        <v>2375</v>
      </c>
      <c r="E44" s="45">
        <v>28500</v>
      </c>
    </row>
    <row r="45" spans="1:5" ht="13.5" thickBot="1" x14ac:dyDescent="0.25">
      <c r="A45" s="29" t="s">
        <v>142</v>
      </c>
      <c r="B45" s="52" t="s">
        <v>90</v>
      </c>
      <c r="C45" s="126">
        <f>D45/D80</f>
        <v>8.3661285572778632E-2</v>
      </c>
      <c r="D45" s="43">
        <f t="shared" si="0"/>
        <v>2083.3333333333335</v>
      </c>
      <c r="E45" s="45">
        <v>25000</v>
      </c>
    </row>
    <row r="46" spans="1:5" x14ac:dyDescent="0.2">
      <c r="A46" s="25" t="s">
        <v>112</v>
      </c>
      <c r="B46" s="7" t="s">
        <v>102</v>
      </c>
      <c r="C46" s="35">
        <f>D46/D80</f>
        <v>1.5494070088078602</v>
      </c>
      <c r="D46" s="16">
        <f t="shared" si="0"/>
        <v>38583.333333333336</v>
      </c>
      <c r="E46" s="62">
        <f>SUM(E47:E54)</f>
        <v>463000</v>
      </c>
    </row>
    <row r="47" spans="1:5" x14ac:dyDescent="0.2">
      <c r="A47" s="29" t="s">
        <v>59</v>
      </c>
      <c r="B47" s="41" t="s">
        <v>80</v>
      </c>
      <c r="C47" s="42">
        <f>D47/D80</f>
        <v>6.6929028458222906E-2</v>
      </c>
      <c r="D47" s="43">
        <f t="shared" si="0"/>
        <v>1666.6666666666667</v>
      </c>
      <c r="E47" s="45">
        <v>20000</v>
      </c>
    </row>
    <row r="48" spans="1:5" x14ac:dyDescent="0.2">
      <c r="A48" s="29" t="s">
        <v>60</v>
      </c>
      <c r="B48" s="41" t="s">
        <v>87</v>
      </c>
      <c r="C48" s="42">
        <f>D48/D80</f>
        <v>0.20078708537466869</v>
      </c>
      <c r="D48" s="43">
        <f t="shared" si="0"/>
        <v>5000</v>
      </c>
      <c r="E48" s="45">
        <v>60000</v>
      </c>
    </row>
    <row r="49" spans="1:5" x14ac:dyDescent="0.2">
      <c r="A49" s="29" t="s">
        <v>61</v>
      </c>
      <c r="B49" s="41" t="s">
        <v>77</v>
      </c>
      <c r="C49" s="42">
        <f>D49/D80</f>
        <v>0</v>
      </c>
      <c r="D49" s="43">
        <f t="shared" si="0"/>
        <v>0</v>
      </c>
      <c r="E49" s="45">
        <v>0</v>
      </c>
    </row>
    <row r="50" spans="1:5" x14ac:dyDescent="0.2">
      <c r="A50" s="29" t="s">
        <v>62</v>
      </c>
      <c r="B50" s="41" t="s">
        <v>25</v>
      </c>
      <c r="C50" s="42">
        <f>D50/D80</f>
        <v>8.3661285572778632E-2</v>
      </c>
      <c r="D50" s="43">
        <f t="shared" si="0"/>
        <v>2083.3333333333335</v>
      </c>
      <c r="E50" s="45">
        <v>25000</v>
      </c>
    </row>
    <row r="51" spans="1:5" x14ac:dyDescent="0.2">
      <c r="A51" s="29" t="s">
        <v>63</v>
      </c>
      <c r="B51" s="65" t="s">
        <v>76</v>
      </c>
      <c r="C51" s="42">
        <f>D51/D80</f>
        <v>1.6732257114555726E-2</v>
      </c>
      <c r="D51" s="43">
        <f t="shared" si="0"/>
        <v>416.66666666666669</v>
      </c>
      <c r="E51" s="45">
        <v>5000</v>
      </c>
    </row>
    <row r="52" spans="1:5" x14ac:dyDescent="0.2">
      <c r="A52" s="29" t="s">
        <v>64</v>
      </c>
      <c r="B52" s="41" t="s">
        <v>130</v>
      </c>
      <c r="C52" s="42">
        <f>D52/D80</f>
        <v>0.28444837094744729</v>
      </c>
      <c r="D52" s="43">
        <f>E52/12</f>
        <v>7083.333333333333</v>
      </c>
      <c r="E52" s="45">
        <v>85000</v>
      </c>
    </row>
    <row r="53" spans="1:5" x14ac:dyDescent="0.2">
      <c r="A53" s="29" t="s">
        <v>65</v>
      </c>
      <c r="B53" s="41" t="s">
        <v>85</v>
      </c>
      <c r="C53" s="42">
        <f>D53/D80</f>
        <v>2.6771611383289158E-2</v>
      </c>
      <c r="D53" s="43">
        <f>E53/12</f>
        <v>666.66666666666663</v>
      </c>
      <c r="E53" s="45">
        <v>8000</v>
      </c>
    </row>
    <row r="54" spans="1:5" ht="13.5" thickBot="1" x14ac:dyDescent="0.25">
      <c r="A54" s="29" t="s">
        <v>66</v>
      </c>
      <c r="B54" s="41" t="s">
        <v>121</v>
      </c>
      <c r="C54" s="42">
        <f>D54/D80</f>
        <v>0.87007736995689777</v>
      </c>
      <c r="D54" s="43">
        <f>E54/12</f>
        <v>21666.666666666668</v>
      </c>
      <c r="E54" s="45">
        <v>260000</v>
      </c>
    </row>
    <row r="55" spans="1:5" x14ac:dyDescent="0.2">
      <c r="A55" s="25" t="s">
        <v>113</v>
      </c>
      <c r="B55" s="7" t="s">
        <v>127</v>
      </c>
      <c r="C55" s="35">
        <f>D55/D80</f>
        <v>4.6150208818568785</v>
      </c>
      <c r="D55" s="16">
        <f t="shared" si="0"/>
        <v>114923.25</v>
      </c>
      <c r="E55" s="62">
        <f>SUM(E56:E72)</f>
        <v>1379079</v>
      </c>
    </row>
    <row r="56" spans="1:5" x14ac:dyDescent="0.2">
      <c r="A56" s="29" t="s">
        <v>143</v>
      </c>
      <c r="B56" s="41" t="s">
        <v>95</v>
      </c>
      <c r="C56" s="42">
        <f>D56/D80</f>
        <v>8.3661285572778632E-2</v>
      </c>
      <c r="D56" s="43">
        <f t="shared" si="0"/>
        <v>2083.3333333333335</v>
      </c>
      <c r="E56" s="45">
        <v>25000</v>
      </c>
    </row>
    <row r="57" spans="1:5" x14ac:dyDescent="0.2">
      <c r="A57" s="29" t="s">
        <v>144</v>
      </c>
      <c r="B57" s="65" t="s">
        <v>91</v>
      </c>
      <c r="C57" s="42">
        <f>D57/D80</f>
        <v>0.26771611383289162</v>
      </c>
      <c r="D57" s="43">
        <f t="shared" si="0"/>
        <v>6666.666666666667</v>
      </c>
      <c r="E57" s="45">
        <v>80000</v>
      </c>
    </row>
    <row r="58" spans="1:5" x14ac:dyDescent="0.2">
      <c r="A58" s="29" t="s">
        <v>145</v>
      </c>
      <c r="B58" s="41" t="s">
        <v>122</v>
      </c>
      <c r="C58" s="42">
        <f>D58/D80</f>
        <v>0.10039354268733434</v>
      </c>
      <c r="D58" s="43">
        <f t="shared" si="0"/>
        <v>2500</v>
      </c>
      <c r="E58" s="45">
        <v>30000</v>
      </c>
    </row>
    <row r="59" spans="1:5" x14ac:dyDescent="0.2">
      <c r="A59" s="29" t="s">
        <v>146</v>
      </c>
      <c r="B59" s="41" t="s">
        <v>125</v>
      </c>
      <c r="C59" s="42">
        <f>D59/D80</f>
        <v>6.0236125612400611E-2</v>
      </c>
      <c r="D59" s="43">
        <f t="shared" si="0"/>
        <v>1500</v>
      </c>
      <c r="E59" s="45">
        <v>18000</v>
      </c>
    </row>
    <row r="60" spans="1:5" x14ac:dyDescent="0.2">
      <c r="A60" s="29" t="s">
        <v>147</v>
      </c>
      <c r="B60" s="65" t="s">
        <v>123</v>
      </c>
      <c r="C60" s="42">
        <f>D60/D80</f>
        <v>0.53543222766578324</v>
      </c>
      <c r="D60" s="43">
        <f t="shared" si="0"/>
        <v>13333.333333333334</v>
      </c>
      <c r="E60" s="45">
        <v>160000</v>
      </c>
    </row>
    <row r="61" spans="1:5" x14ac:dyDescent="0.2">
      <c r="A61" s="29" t="s">
        <v>148</v>
      </c>
      <c r="B61" s="65" t="s">
        <v>160</v>
      </c>
      <c r="C61" s="42">
        <f>D61/D80</f>
        <v>0.33464514229111453</v>
      </c>
      <c r="D61" s="43">
        <f t="shared" si="0"/>
        <v>8333.3333333333339</v>
      </c>
      <c r="E61" s="45">
        <v>100000</v>
      </c>
    </row>
    <row r="62" spans="1:5" x14ac:dyDescent="0.2">
      <c r="A62" s="29" t="s">
        <v>149</v>
      </c>
      <c r="B62" s="41" t="s">
        <v>74</v>
      </c>
      <c r="C62" s="42">
        <f>D62/D80</f>
        <v>1.3385805691644579E-2</v>
      </c>
      <c r="D62" s="43">
        <f t="shared" si="0"/>
        <v>333.33333333333331</v>
      </c>
      <c r="E62" s="45">
        <v>4000</v>
      </c>
    </row>
    <row r="63" spans="1:5" x14ac:dyDescent="0.2">
      <c r="A63" s="29" t="s">
        <v>150</v>
      </c>
      <c r="B63" s="65" t="s">
        <v>98</v>
      </c>
      <c r="C63" s="42">
        <f>D63/D80</f>
        <v>2.8110191952453619E-2</v>
      </c>
      <c r="D63" s="43">
        <f t="shared" si="0"/>
        <v>700</v>
      </c>
      <c r="E63" s="45">
        <v>8400</v>
      </c>
    </row>
    <row r="64" spans="1:5" x14ac:dyDescent="0.2">
      <c r="A64" s="29" t="s">
        <v>151</v>
      </c>
      <c r="B64" s="41" t="s">
        <v>97</v>
      </c>
      <c r="C64" s="42">
        <f>D64/D80</f>
        <v>0.10708644553315663</v>
      </c>
      <c r="D64" s="43">
        <f t="shared" si="0"/>
        <v>2666.6666666666665</v>
      </c>
      <c r="E64" s="45">
        <v>32000</v>
      </c>
    </row>
    <row r="65" spans="1:5" x14ac:dyDescent="0.2">
      <c r="A65" s="29" t="s">
        <v>152</v>
      </c>
      <c r="B65" s="41" t="s">
        <v>83</v>
      </c>
      <c r="C65" s="42">
        <f>D65/D80</f>
        <v>2.6771611383289158E-2</v>
      </c>
      <c r="D65" s="43">
        <f t="shared" si="0"/>
        <v>666.66666666666663</v>
      </c>
      <c r="E65" s="45">
        <v>8000</v>
      </c>
    </row>
    <row r="66" spans="1:5" x14ac:dyDescent="0.2">
      <c r="A66" s="29" t="s">
        <v>153</v>
      </c>
      <c r="B66" s="46" t="s">
        <v>126</v>
      </c>
      <c r="C66" s="42">
        <f>D66/D80</f>
        <v>8.3661285572778632E-2</v>
      </c>
      <c r="D66" s="47">
        <f t="shared" si="0"/>
        <v>2083.3333333333335</v>
      </c>
      <c r="E66" s="80">
        <v>25000</v>
      </c>
    </row>
    <row r="67" spans="1:5" x14ac:dyDescent="0.2">
      <c r="A67" s="29" t="s">
        <v>154</v>
      </c>
      <c r="B67" s="46" t="s">
        <v>86</v>
      </c>
      <c r="C67" s="42">
        <f>D67/D80</f>
        <v>0.21751934248922444</v>
      </c>
      <c r="D67" s="47">
        <f t="shared" si="0"/>
        <v>5416.666666666667</v>
      </c>
      <c r="E67" s="80">
        <v>65000</v>
      </c>
    </row>
    <row r="68" spans="1:5" x14ac:dyDescent="0.2">
      <c r="A68" s="29" t="s">
        <v>155</v>
      </c>
      <c r="B68" s="74" t="s">
        <v>24</v>
      </c>
      <c r="C68" s="94">
        <f>D68/D80</f>
        <v>2.3425159960378018E-2</v>
      </c>
      <c r="D68" s="95">
        <f t="shared" si="0"/>
        <v>583.33333333333337</v>
      </c>
      <c r="E68" s="96">
        <v>7000</v>
      </c>
    </row>
    <row r="69" spans="1:5" x14ac:dyDescent="0.2">
      <c r="A69" s="29" t="s">
        <v>156</v>
      </c>
      <c r="B69" s="97" t="s">
        <v>124</v>
      </c>
      <c r="C69" s="98">
        <f>D69/D80</f>
        <v>0.93700639841512057</v>
      </c>
      <c r="D69" s="99">
        <f t="shared" si="0"/>
        <v>23333.333333333332</v>
      </c>
      <c r="E69" s="118">
        <v>280000</v>
      </c>
    </row>
    <row r="70" spans="1:5" x14ac:dyDescent="0.2">
      <c r="A70" s="29" t="s">
        <v>157</v>
      </c>
      <c r="B70" s="97" t="s">
        <v>129</v>
      </c>
      <c r="C70" s="98">
        <f>D70/D80</f>
        <v>1.6397611972264612</v>
      </c>
      <c r="D70" s="99">
        <f t="shared" ref="D70:D78" si="1">E70/12</f>
        <v>40833.333333333336</v>
      </c>
      <c r="E70" s="118">
        <v>490000</v>
      </c>
    </row>
    <row r="71" spans="1:5" x14ac:dyDescent="0.2">
      <c r="A71" s="29" t="s">
        <v>158</v>
      </c>
      <c r="B71" s="120" t="s">
        <v>128</v>
      </c>
      <c r="C71" s="125">
        <f>D71/D80</f>
        <v>0.13613029743260247</v>
      </c>
      <c r="D71" s="121">
        <f t="shared" si="1"/>
        <v>3389.9166666666665</v>
      </c>
      <c r="E71" s="118">
        <v>40679</v>
      </c>
    </row>
    <row r="72" spans="1:5" ht="13.5" thickBot="1" x14ac:dyDescent="0.25">
      <c r="A72" s="29" t="s">
        <v>159</v>
      </c>
      <c r="B72" s="65" t="s">
        <v>104</v>
      </c>
      <c r="C72" s="92">
        <f>D72/D80</f>
        <v>2.007870853746687E-2</v>
      </c>
      <c r="D72" s="93">
        <f t="shared" si="1"/>
        <v>500</v>
      </c>
      <c r="E72" s="122">
        <v>6000</v>
      </c>
    </row>
    <row r="73" spans="1:5" ht="13.5" thickBot="1" x14ac:dyDescent="0.25">
      <c r="A73" s="24">
        <v>13</v>
      </c>
      <c r="B73" s="5" t="s">
        <v>92</v>
      </c>
      <c r="C73" s="38">
        <f>D73/D80</f>
        <v>0</v>
      </c>
      <c r="D73" s="15">
        <f t="shared" si="1"/>
        <v>0</v>
      </c>
      <c r="E73" s="61">
        <v>0</v>
      </c>
    </row>
    <row r="74" spans="1:5" ht="13.5" thickBot="1" x14ac:dyDescent="0.25">
      <c r="A74" s="24">
        <v>14</v>
      </c>
      <c r="B74" s="6" t="s">
        <v>26</v>
      </c>
      <c r="C74" s="34">
        <f>D74/D80</f>
        <v>3.3464514229111453E-2</v>
      </c>
      <c r="D74" s="15">
        <f t="shared" si="1"/>
        <v>833.33333333333337</v>
      </c>
      <c r="E74" s="61">
        <v>10000</v>
      </c>
    </row>
    <row r="75" spans="1:5" ht="13.5" thickBot="1" x14ac:dyDescent="0.25">
      <c r="A75" s="55">
        <v>15</v>
      </c>
      <c r="B75" s="56" t="s">
        <v>119</v>
      </c>
      <c r="C75" s="81">
        <f>D75/D80</f>
        <v>1.350293149144647</v>
      </c>
      <c r="D75" s="54">
        <f t="shared" si="1"/>
        <v>33625</v>
      </c>
      <c r="E75" s="57">
        <v>403500</v>
      </c>
    </row>
    <row r="76" spans="1:5" ht="13.5" thickBot="1" x14ac:dyDescent="0.25">
      <c r="A76" s="127">
        <v>16</v>
      </c>
      <c r="B76" s="128" t="s">
        <v>120</v>
      </c>
      <c r="C76" s="129">
        <f>D76/D80</f>
        <v>8.1017588948678818E-2</v>
      </c>
      <c r="D76" s="130">
        <f t="shared" si="1"/>
        <v>2017.5</v>
      </c>
      <c r="E76" s="131">
        <v>24210</v>
      </c>
    </row>
    <row r="77" spans="1:5" ht="13.5" thickBot="1" x14ac:dyDescent="0.25">
      <c r="A77" s="55">
        <v>17</v>
      </c>
      <c r="B77" s="56" t="s">
        <v>114</v>
      </c>
      <c r="C77" s="53">
        <f>D77/D80</f>
        <v>2.1588426632399003</v>
      </c>
      <c r="D77" s="54">
        <f t="shared" si="1"/>
        <v>53759.5</v>
      </c>
      <c r="E77" s="57">
        <v>645114</v>
      </c>
    </row>
    <row r="78" spans="1:5" ht="13.5" thickBot="1" x14ac:dyDescent="0.25">
      <c r="A78" s="245" t="s">
        <v>27</v>
      </c>
      <c r="B78" s="246"/>
      <c r="C78" s="58">
        <f>D78/D80</f>
        <v>11.000001338580571</v>
      </c>
      <c r="D78" s="59">
        <f t="shared" si="1"/>
        <v>273922.03333333338</v>
      </c>
      <c r="E78" s="60">
        <f>E6+E7+E8+E9+E10+E13+E18+E19+E26+E32+E46+E55+E73+E74-E75+E76-E77</f>
        <v>3287064.4000000004</v>
      </c>
    </row>
    <row r="79" spans="1:5" x14ac:dyDescent="0.2">
      <c r="A79" s="11"/>
      <c r="B79" s="11"/>
      <c r="C79" s="11"/>
      <c r="D79" s="11"/>
      <c r="E79" s="11"/>
    </row>
    <row r="80" spans="1:5" x14ac:dyDescent="0.2">
      <c r="A80" s="107" t="s">
        <v>28</v>
      </c>
      <c r="B80" s="107"/>
      <c r="C80" s="32"/>
      <c r="D80" s="1">
        <v>24902</v>
      </c>
      <c r="E80" s="2" t="s">
        <v>29</v>
      </c>
    </row>
    <row r="81" spans="1:5" x14ac:dyDescent="0.2">
      <c r="A81" s="11"/>
      <c r="B81" s="11"/>
      <c r="C81" s="11"/>
      <c r="D81" s="11"/>
      <c r="E81" s="11"/>
    </row>
    <row r="82" spans="1:5" x14ac:dyDescent="0.2">
      <c r="A82" s="247" t="s">
        <v>115</v>
      </c>
      <c r="B82" s="247"/>
      <c r="C82" s="31"/>
    </row>
    <row r="83" spans="1:5" x14ac:dyDescent="0.2">
      <c r="A83" s="247" t="s">
        <v>30</v>
      </c>
      <c r="B83" s="247"/>
      <c r="C83" s="31"/>
      <c r="D83" s="33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</vt:lpstr>
      <vt:lpstr>Лист1</vt:lpstr>
      <vt:lpstr>Смета!OLE_LINK3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max</cp:lastModifiedBy>
  <cp:lastPrinted>2022-01-19T15:35:11Z</cp:lastPrinted>
  <dcterms:created xsi:type="dcterms:W3CDTF">2010-12-02T20:37:32Z</dcterms:created>
  <dcterms:modified xsi:type="dcterms:W3CDTF">2022-01-21T14:01:33Z</dcterms:modified>
</cp:coreProperties>
</file>